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autoCompressPictures="0"/>
  <mc:AlternateContent xmlns:mc="http://schemas.openxmlformats.org/markup-compatibility/2006">
    <mc:Choice Requires="x15">
      <x15ac:absPath xmlns:x15ac="http://schemas.microsoft.com/office/spreadsheetml/2010/11/ac" url="G:\TS Process\00 Product Information\Conflict Minerals\"/>
    </mc:Choice>
  </mc:AlternateContent>
  <xr:revisionPtr revIDLastSave="0" documentId="8_{528AC499-0CEC-440B-9EE4-C8785F9EB28C}"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B5" i="5" l="1"/>
  <c r="C5" i="5"/>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J5" i="5"/>
  <c r="E5" i="5"/>
  <c r="X5" i="5" s="1"/>
  <c r="S5" i="5"/>
  <c r="T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E6" i="5"/>
  <c r="X6" i="5" s="1"/>
  <c r="V7" i="5"/>
  <c r="E7" i="5"/>
  <c r="V8" i="5"/>
  <c r="E8" i="5"/>
  <c r="X8" i="5" s="1"/>
  <c r="V9" i="5"/>
  <c r="E9" i="5"/>
  <c r="X9" i="5" s="1"/>
  <c r="V10" i="5"/>
  <c r="E10" i="5"/>
  <c r="X10" i="5" s="1"/>
  <c r="V11" i="5"/>
  <c r="E11" i="5"/>
  <c r="V12" i="5"/>
  <c r="E12" i="5"/>
  <c r="X12" i="5" s="1"/>
  <c r="V13" i="5"/>
  <c r="E13" i="5"/>
  <c r="X13" i="5" s="1"/>
  <c r="V14" i="5"/>
  <c r="E14" i="5"/>
  <c r="X14" i="5" s="1"/>
  <c r="V15" i="5"/>
  <c r="E15" i="5"/>
  <c r="X15" i="5" s="1"/>
  <c r="V16" i="5"/>
  <c r="E16" i="5"/>
  <c r="X16" i="5" s="1"/>
  <c r="V17" i="5"/>
  <c r="E17" i="5"/>
  <c r="X17" i="5" s="1"/>
  <c r="V18" i="5"/>
  <c r="E18" i="5"/>
  <c r="X18" i="5" s="1"/>
  <c r="V19" i="5"/>
  <c r="E19" i="5"/>
  <c r="X19" i="5" s="1"/>
  <c r="V20" i="5"/>
  <c r="E20" i="5"/>
  <c r="X20" i="5" s="1"/>
  <c r="V21" i="5"/>
  <c r="E21" i="5"/>
  <c r="X21" i="5" s="1"/>
  <c r="V22" i="5"/>
  <c r="E22" i="5"/>
  <c r="X22" i="5" s="1"/>
  <c r="V23" i="5"/>
  <c r="E23" i="5"/>
  <c r="X23" i="5" s="1"/>
  <c r="V24" i="5"/>
  <c r="E24" i="5"/>
  <c r="X24" i="5" s="1"/>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X39" i="5" s="1"/>
  <c r="V40" i="5"/>
  <c r="E40" i="5"/>
  <c r="X40" i="5" s="1"/>
  <c r="V41" i="5"/>
  <c r="E41" i="5"/>
  <c r="X41" i="5" s="1"/>
  <c r="V42" i="5"/>
  <c r="E42" i="5"/>
  <c r="X42" i="5" s="1"/>
  <c r="V43" i="5"/>
  <c r="E43" i="5"/>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V240" i="5"/>
  <c r="E240" i="5"/>
  <c r="X240" i="5" s="1"/>
  <c r="V241" i="5"/>
  <c r="E241" i="5"/>
  <c r="X241" i="5" s="1"/>
  <c r="V242" i="5"/>
  <c r="E242" i="5"/>
  <c r="X242" i="5" s="1"/>
  <c r="V243" i="5"/>
  <c r="E243" i="5"/>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V326" i="5"/>
  <c r="E326" i="5"/>
  <c r="X326" i="5" s="1"/>
  <c r="V327" i="5"/>
  <c r="E327" i="5"/>
  <c r="V328" i="5"/>
  <c r="E328" i="5"/>
  <c r="X328" i="5" s="1"/>
  <c r="V329" i="5"/>
  <c r="E329" i="5"/>
  <c r="X329" i="5" s="1"/>
  <c r="V330" i="5"/>
  <c r="E330" i="5"/>
  <c r="X330" i="5" s="1"/>
  <c r="V331" i="5"/>
  <c r="E331" i="5"/>
  <c r="X331" i="5" s="1"/>
  <c r="V332" i="5"/>
  <c r="E332" i="5"/>
  <c r="X332" i="5" s="1"/>
  <c r="V333" i="5"/>
  <c r="E333" i="5"/>
  <c r="X333" i="5" s="1"/>
  <c r="V334" i="5"/>
  <c r="E334" i="5"/>
  <c r="X334" i="5" s="1"/>
  <c r="V335" i="5"/>
  <c r="E335" i="5"/>
  <c r="V336" i="5"/>
  <c r="E336" i="5"/>
  <c r="X336" i="5" s="1"/>
  <c r="V337" i="5"/>
  <c r="E337" i="5"/>
  <c r="X337" i="5" s="1"/>
  <c r="V338" i="5"/>
  <c r="E338" i="5"/>
  <c r="X338" i="5" s="1"/>
  <c r="V339" i="5"/>
  <c r="E339" i="5"/>
  <c r="V340" i="5"/>
  <c r="E340" i="5"/>
  <c r="X340" i="5" s="1"/>
  <c r="V341" i="5"/>
  <c r="E341" i="5"/>
  <c r="X341" i="5" s="1"/>
  <c r="V342" i="5"/>
  <c r="E342" i="5"/>
  <c r="X342" i="5" s="1"/>
  <c r="V343" i="5"/>
  <c r="E343" i="5"/>
  <c r="X343" i="5" s="1"/>
  <c r="V344" i="5"/>
  <c r="E344" i="5"/>
  <c r="X344" i="5" s="1"/>
  <c r="V345" i="5"/>
  <c r="E345" i="5"/>
  <c r="X345" i="5" s="1"/>
  <c r="V346" i="5"/>
  <c r="E346" i="5"/>
  <c r="X346" i="5" s="1"/>
  <c r="V347" i="5"/>
  <c r="E347" i="5"/>
  <c r="V348" i="5"/>
  <c r="E348" i="5"/>
  <c r="X348" i="5" s="1"/>
  <c r="V349" i="5"/>
  <c r="E349" i="5"/>
  <c r="X349" i="5" s="1"/>
  <c r="V350" i="5"/>
  <c r="E350" i="5"/>
  <c r="X350" i="5" s="1"/>
  <c r="V351" i="5"/>
  <c r="E351" i="5"/>
  <c r="X351" i="5" s="1"/>
  <c r="V352" i="5"/>
  <c r="E352" i="5"/>
  <c r="X352" i="5" s="1"/>
  <c r="V353" i="5"/>
  <c r="E353" i="5"/>
  <c r="X353" i="5" s="1"/>
  <c r="V354" i="5"/>
  <c r="E354" i="5"/>
  <c r="X354" i="5" s="1"/>
  <c r="V355" i="5"/>
  <c r="E355" i="5"/>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V384" i="5"/>
  <c r="E384" i="5"/>
  <c r="X384" i="5" s="1"/>
  <c r="V385" i="5"/>
  <c r="E385" i="5"/>
  <c r="X385" i="5" s="1"/>
  <c r="V386" i="5"/>
  <c r="E386" i="5"/>
  <c r="X386" i="5" s="1"/>
  <c r="V387" i="5"/>
  <c r="E387" i="5"/>
  <c r="X387" i="5" s="1"/>
  <c r="V388" i="5"/>
  <c r="E388" i="5"/>
  <c r="X388" i="5" s="1"/>
  <c r="V389" i="5"/>
  <c r="E389" i="5"/>
  <c r="X389" i="5" s="1"/>
  <c r="V390" i="5"/>
  <c r="E390" i="5"/>
  <c r="X390" i="5" s="1"/>
  <c r="V391" i="5"/>
  <c r="E391" i="5"/>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V404" i="5"/>
  <c r="E404" i="5"/>
  <c r="X404" i="5" s="1"/>
  <c r="V405" i="5"/>
  <c r="E405" i="5"/>
  <c r="X405" i="5" s="1"/>
  <c r="V406" i="5"/>
  <c r="E406" i="5"/>
  <c r="X406" i="5" s="1"/>
  <c r="V407" i="5"/>
  <c r="E407" i="5"/>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V432" i="5"/>
  <c r="E432" i="5"/>
  <c r="X432" i="5" s="1"/>
  <c r="V433" i="5"/>
  <c r="E433" i="5"/>
  <c r="X433" i="5" s="1"/>
  <c r="V434" i="5"/>
  <c r="E434" i="5"/>
  <c r="X434" i="5" s="1"/>
  <c r="V435" i="5"/>
  <c r="E435" i="5"/>
  <c r="X435" i="5" s="1"/>
  <c r="V436" i="5"/>
  <c r="E436" i="5"/>
  <c r="X436" i="5" s="1"/>
  <c r="V437" i="5"/>
  <c r="E437" i="5"/>
  <c r="X437" i="5" s="1"/>
  <c r="V438" i="5"/>
  <c r="E438" i="5"/>
  <c r="X438" i="5" s="1"/>
  <c r="V439" i="5"/>
  <c r="E439" i="5"/>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V468" i="5"/>
  <c r="E468" i="5"/>
  <c r="X468" i="5" s="1"/>
  <c r="V469" i="5"/>
  <c r="E469" i="5"/>
  <c r="X469" i="5" s="1"/>
  <c r="V470" i="5"/>
  <c r="E470" i="5"/>
  <c r="X470" i="5" s="1"/>
  <c r="V471" i="5"/>
  <c r="E471" i="5"/>
  <c r="X471" i="5" s="1"/>
  <c r="V472" i="5"/>
  <c r="E472" i="5"/>
  <c r="X472" i="5" s="1"/>
  <c r="V473" i="5"/>
  <c r="E473" i="5"/>
  <c r="X473" i="5" s="1"/>
  <c r="V474" i="5"/>
  <c r="E474" i="5"/>
  <c r="X474" i="5" s="1"/>
  <c r="V475" i="5"/>
  <c r="E475" i="5"/>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V576" i="5"/>
  <c r="E576" i="5"/>
  <c r="X576" i="5" s="1"/>
  <c r="V577" i="5"/>
  <c r="E577" i="5"/>
  <c r="X577" i="5" s="1"/>
  <c r="V578" i="5"/>
  <c r="E578" i="5"/>
  <c r="X578" i="5" s="1"/>
  <c r="V579" i="5"/>
  <c r="E579" i="5"/>
  <c r="V580" i="5"/>
  <c r="E580" i="5"/>
  <c r="X580" i="5" s="1"/>
  <c r="V581" i="5"/>
  <c r="E581" i="5"/>
  <c r="X581" i="5" s="1"/>
  <c r="V582" i="5"/>
  <c r="E582" i="5"/>
  <c r="X582" i="5" s="1"/>
  <c r="V583" i="5"/>
  <c r="E583" i="5"/>
  <c r="V584" i="5"/>
  <c r="E584" i="5"/>
  <c r="X584" i="5" s="1"/>
  <c r="V585" i="5"/>
  <c r="E585" i="5"/>
  <c r="X585" i="5" s="1"/>
  <c r="V586" i="5"/>
  <c r="E586" i="5"/>
  <c r="X586" i="5" s="1"/>
  <c r="V587" i="5"/>
  <c r="E587" i="5"/>
  <c r="X587" i="5" s="1"/>
  <c r="V588" i="5"/>
  <c r="E588" i="5"/>
  <c r="X588" i="5" s="1"/>
  <c r="V589" i="5"/>
  <c r="E589" i="5"/>
  <c r="X589" i="5" s="1"/>
  <c r="V590" i="5"/>
  <c r="E590" i="5"/>
  <c r="X590" i="5" s="1"/>
  <c r="V591" i="5"/>
  <c r="E591" i="5"/>
  <c r="V592" i="5"/>
  <c r="E592" i="5"/>
  <c r="X592" i="5" s="1"/>
  <c r="V593" i="5"/>
  <c r="E593" i="5"/>
  <c r="X593" i="5" s="1"/>
  <c r="V594" i="5"/>
  <c r="E594" i="5"/>
  <c r="X594" i="5" s="1"/>
  <c r="V595" i="5"/>
  <c r="E595" i="5"/>
  <c r="V596" i="5"/>
  <c r="E596" i="5"/>
  <c r="X596" i="5" s="1"/>
  <c r="V597" i="5"/>
  <c r="E597" i="5"/>
  <c r="X597" i="5" s="1"/>
  <c r="V598" i="5"/>
  <c r="E598" i="5"/>
  <c r="X598" i="5" s="1"/>
  <c r="V599" i="5"/>
  <c r="E599" i="5"/>
  <c r="V600" i="5"/>
  <c r="E600" i="5"/>
  <c r="X600" i="5" s="1"/>
  <c r="V601" i="5"/>
  <c r="E601" i="5"/>
  <c r="X601" i="5" s="1"/>
  <c r="V602" i="5"/>
  <c r="E602" i="5"/>
  <c r="X602" i="5" s="1"/>
  <c r="V603" i="5"/>
  <c r="E603" i="5"/>
  <c r="V604" i="5"/>
  <c r="E604" i="5"/>
  <c r="X604" i="5" s="1"/>
  <c r="V605" i="5"/>
  <c r="E605" i="5"/>
  <c r="X605" i="5" s="1"/>
  <c r="V606" i="5"/>
  <c r="E606" i="5"/>
  <c r="X606" i="5" s="1"/>
  <c r="V607" i="5"/>
  <c r="E607" i="5"/>
  <c r="V608" i="5"/>
  <c r="E608" i="5"/>
  <c r="X608" i="5" s="1"/>
  <c r="V609" i="5"/>
  <c r="E609" i="5"/>
  <c r="X609" i="5" s="1"/>
  <c r="V610" i="5"/>
  <c r="E610" i="5"/>
  <c r="X610" i="5" s="1"/>
  <c r="V611" i="5"/>
  <c r="E611" i="5"/>
  <c r="X611" i="5" s="1"/>
  <c r="V612" i="5"/>
  <c r="E612" i="5"/>
  <c r="X612" i="5" s="1"/>
  <c r="V613" i="5"/>
  <c r="E613" i="5"/>
  <c r="X613" i="5" s="1"/>
  <c r="V614" i="5"/>
  <c r="E614" i="5"/>
  <c r="X614" i="5" s="1"/>
  <c r="V615" i="5"/>
  <c r="E615" i="5"/>
  <c r="V616" i="5"/>
  <c r="E616" i="5"/>
  <c r="X616" i="5" s="1"/>
  <c r="V617" i="5"/>
  <c r="E617" i="5"/>
  <c r="X617" i="5" s="1"/>
  <c r="V618" i="5"/>
  <c r="E618" i="5"/>
  <c r="X618" i="5" s="1"/>
  <c r="V619" i="5"/>
  <c r="E619" i="5"/>
  <c r="V620" i="5"/>
  <c r="E620" i="5"/>
  <c r="X620" i="5" s="1"/>
  <c r="V621" i="5"/>
  <c r="E621" i="5"/>
  <c r="X621" i="5" s="1"/>
  <c r="V622" i="5"/>
  <c r="E622" i="5"/>
  <c r="X622" i="5" s="1"/>
  <c r="V623" i="5"/>
  <c r="E623" i="5"/>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V636" i="5"/>
  <c r="E636" i="5"/>
  <c r="X636" i="5" s="1"/>
  <c r="V637" i="5"/>
  <c r="E637" i="5"/>
  <c r="X637" i="5" s="1"/>
  <c r="V638" i="5"/>
  <c r="E638" i="5"/>
  <c r="X638" i="5" s="1"/>
  <c r="V639" i="5"/>
  <c r="E639" i="5"/>
  <c r="V640" i="5"/>
  <c r="E640" i="5"/>
  <c r="X640" i="5" s="1"/>
  <c r="V641" i="5"/>
  <c r="E641" i="5"/>
  <c r="X641" i="5" s="1"/>
  <c r="V642" i="5"/>
  <c r="E642" i="5"/>
  <c r="X642" i="5" s="1"/>
  <c r="V643" i="5"/>
  <c r="E643" i="5"/>
  <c r="X643" i="5" s="1"/>
  <c r="V644" i="5"/>
  <c r="E644" i="5"/>
  <c r="X644" i="5" s="1"/>
  <c r="V645" i="5"/>
  <c r="E645" i="5"/>
  <c r="X645" i="5" s="1"/>
  <c r="V646" i="5"/>
  <c r="E646" i="5"/>
  <c r="X646" i="5" s="1"/>
  <c r="V647" i="5"/>
  <c r="E647" i="5"/>
  <c r="V648" i="5"/>
  <c r="E648" i="5"/>
  <c r="X648" i="5" s="1"/>
  <c r="V649" i="5"/>
  <c r="E649" i="5"/>
  <c r="X649" i="5" s="1"/>
  <c r="V650" i="5"/>
  <c r="E650" i="5"/>
  <c r="X650" i="5" s="1"/>
  <c r="V651" i="5"/>
  <c r="E651" i="5"/>
  <c r="X651" i="5" s="1"/>
  <c r="V652" i="5"/>
  <c r="E652" i="5"/>
  <c r="X652" i="5" s="1"/>
  <c r="V653" i="5"/>
  <c r="E653" i="5"/>
  <c r="X653" i="5" s="1"/>
  <c r="V654" i="5"/>
  <c r="E654" i="5"/>
  <c r="X654" i="5" s="1"/>
  <c r="V655" i="5"/>
  <c r="E655" i="5"/>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V672" i="5"/>
  <c r="E672" i="5"/>
  <c r="X672" i="5" s="1"/>
  <c r="V673" i="5"/>
  <c r="E673" i="5"/>
  <c r="X673" i="5" s="1"/>
  <c r="V674" i="5"/>
  <c r="E674" i="5"/>
  <c r="X674" i="5" s="1"/>
  <c r="V675" i="5"/>
  <c r="E675" i="5"/>
  <c r="V676" i="5"/>
  <c r="E676" i="5"/>
  <c r="X676" i="5" s="1"/>
  <c r="V677" i="5"/>
  <c r="E677" i="5"/>
  <c r="X677" i="5" s="1"/>
  <c r="V678" i="5"/>
  <c r="E678" i="5"/>
  <c r="X678" i="5" s="1"/>
  <c r="V679" i="5"/>
  <c r="E679" i="5"/>
  <c r="V680" i="5"/>
  <c r="E680" i="5"/>
  <c r="X680" i="5" s="1"/>
  <c r="V681" i="5"/>
  <c r="E681" i="5"/>
  <c r="X681" i="5" s="1"/>
  <c r="V682" i="5"/>
  <c r="E682" i="5"/>
  <c r="X682" i="5" s="1"/>
  <c r="V683" i="5"/>
  <c r="E683" i="5"/>
  <c r="X683" i="5" s="1"/>
  <c r="V684" i="5"/>
  <c r="E684" i="5"/>
  <c r="X684" i="5" s="1"/>
  <c r="V685" i="5"/>
  <c r="E685" i="5"/>
  <c r="X685" i="5" s="1"/>
  <c r="V686" i="5"/>
  <c r="E686" i="5"/>
  <c r="X686" i="5" s="1"/>
  <c r="V687" i="5"/>
  <c r="E687" i="5"/>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V768" i="5"/>
  <c r="E768" i="5"/>
  <c r="X768" i="5" s="1"/>
  <c r="V769" i="5"/>
  <c r="E769" i="5"/>
  <c r="X769" i="5" s="1"/>
  <c r="V770" i="5"/>
  <c r="E770" i="5"/>
  <c r="X770" i="5" s="1"/>
  <c r="V771" i="5"/>
  <c r="E771" i="5"/>
  <c r="X771" i="5" s="1"/>
  <c r="V772" i="5"/>
  <c r="E772" i="5"/>
  <c r="X772" i="5" s="1"/>
  <c r="V773" i="5"/>
  <c r="E773" i="5"/>
  <c r="X773" i="5" s="1"/>
  <c r="V774" i="5"/>
  <c r="E774" i="5"/>
  <c r="X774" i="5" s="1"/>
  <c r="V775" i="5"/>
  <c r="E775" i="5"/>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V1236" i="5"/>
  <c r="E1236" i="5"/>
  <c r="X1236" i="5" s="1"/>
  <c r="V1237" i="5"/>
  <c r="E1237" i="5"/>
  <c r="X1237" i="5" s="1"/>
  <c r="V1238" i="5"/>
  <c r="E1238" i="5"/>
  <c r="X1238" i="5" s="1"/>
  <c r="V1239" i="5"/>
  <c r="E1239" i="5"/>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X1253" i="5" s="1"/>
  <c r="V1254" i="5"/>
  <c r="E1254" i="5"/>
  <c r="X1254" i="5" s="1"/>
  <c r="V1255" i="5"/>
  <c r="E1255" i="5"/>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V1560" i="5"/>
  <c r="E1560" i="5"/>
  <c r="X1560" i="5" s="1"/>
  <c r="V1561" i="5"/>
  <c r="E1561" i="5"/>
  <c r="X1561" i="5" s="1"/>
  <c r="V1562" i="5"/>
  <c r="E1562" i="5"/>
  <c r="X1562" i="5" s="1"/>
  <c r="V1563" i="5"/>
  <c r="E1563" i="5"/>
  <c r="V1564" i="5"/>
  <c r="E1564" i="5"/>
  <c r="X1564" i="5" s="1"/>
  <c r="V1565" i="5"/>
  <c r="E1565" i="5"/>
  <c r="X1565" i="5" s="1"/>
  <c r="V1566" i="5"/>
  <c r="E1566" i="5"/>
  <c r="X1566" i="5" s="1"/>
  <c r="V1567" i="5"/>
  <c r="E1567" i="5"/>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V1600" i="5"/>
  <c r="E1600" i="5"/>
  <c r="X1600" i="5" s="1"/>
  <c r="V1601" i="5"/>
  <c r="E1601" i="5"/>
  <c r="X1601" i="5" s="1"/>
  <c r="V1602" i="5"/>
  <c r="E1602" i="5"/>
  <c r="X1602" i="5" s="1"/>
  <c r="V1603" i="5"/>
  <c r="E1603" i="5"/>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V1776" i="5"/>
  <c r="E1776" i="5"/>
  <c r="X1776" i="5" s="1"/>
  <c r="V1777" i="5"/>
  <c r="E1777" i="5"/>
  <c r="X1777" i="5" s="1"/>
  <c r="V1778" i="5"/>
  <c r="E1778" i="5"/>
  <c r="X1778" i="5" s="1"/>
  <c r="V1779" i="5"/>
  <c r="E1779" i="5"/>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V2144" i="5"/>
  <c r="E2144" i="5"/>
  <c r="X2144" i="5" s="1"/>
  <c r="V2145" i="5"/>
  <c r="E2145" i="5"/>
  <c r="X2145" i="5" s="1"/>
  <c r="V2146" i="5"/>
  <c r="E2146" i="5"/>
  <c r="X2146" i="5" s="1"/>
  <c r="V2147" i="5"/>
  <c r="E2147" i="5"/>
  <c r="V2148" i="5"/>
  <c r="E2148" i="5"/>
  <c r="X2148" i="5" s="1"/>
  <c r="V2149" i="5"/>
  <c r="E2149" i="5"/>
  <c r="X2149" i="5" s="1"/>
  <c r="V2150" i="5"/>
  <c r="E2150" i="5"/>
  <c r="X2150" i="5" s="1"/>
  <c r="V2151" i="5"/>
  <c r="E2151" i="5"/>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V2212" i="5"/>
  <c r="E2212" i="5"/>
  <c r="X2212" i="5" s="1"/>
  <c r="V2213" i="5"/>
  <c r="E2213" i="5"/>
  <c r="X2213" i="5" s="1"/>
  <c r="V2214" i="5"/>
  <c r="E2214" i="5"/>
  <c r="X2214" i="5" s="1"/>
  <c r="V2215" i="5"/>
  <c r="E2215" i="5"/>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c r="B57" i="6"/>
  <c r="G57" i="6" s="1"/>
  <c r="B56" i="6"/>
  <c r="G56" i="6"/>
  <c r="B55" i="6"/>
  <c r="G55" i="6" s="1"/>
  <c r="B54" i="6"/>
  <c r="G54" i="6"/>
  <c r="B17" i="6"/>
  <c r="B22" i="6" s="1"/>
  <c r="B16" i="6"/>
  <c r="B15" i="6"/>
  <c r="B14" i="6"/>
  <c r="G14" i="6"/>
  <c r="H14" i="6" s="1"/>
  <c r="H13" i="6"/>
  <c r="B12" i="6"/>
  <c r="G12" i="6"/>
  <c r="H12" i="6" s="1"/>
  <c r="D12" i="6" s="1"/>
  <c r="B11" i="6"/>
  <c r="G11" i="6"/>
  <c r="H11" i="6" s="1"/>
  <c r="D11" i="6" s="1"/>
  <c r="G9" i="6"/>
  <c r="H9" i="6" s="1"/>
  <c r="D9" i="6" s="1"/>
  <c r="B8" i="6"/>
  <c r="G8" i="6" s="1"/>
  <c r="H8" i="6" s="1"/>
  <c r="B7" i="6"/>
  <c r="G7" i="6" s="1"/>
  <c r="H7" i="6" s="1"/>
  <c r="D7" i="6" s="1"/>
  <c r="B6" i="6"/>
  <c r="G6" i="6" s="1"/>
  <c r="B5" i="6"/>
  <c r="F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B45" i="4" s="1"/>
  <c r="A30" i="6" s="1"/>
  <c r="P44" i="4"/>
  <c r="P43" i="4"/>
  <c r="Q43" i="4" s="1"/>
  <c r="P41" i="4"/>
  <c r="P40" i="4"/>
  <c r="P39" i="4"/>
  <c r="P38" i="4"/>
  <c r="B38" i="4" s="1"/>
  <c r="B68" i="4" s="1"/>
  <c r="A49" i="6" s="1"/>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X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X179"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F2442" i="5"/>
  <c r="J2442" i="5"/>
  <c r="I2442" i="5"/>
  <c r="H2442" i="5"/>
  <c r="AB2460" i="5"/>
  <c r="F2497" i="5"/>
  <c r="R2497" i="5"/>
  <c r="J2497" i="5"/>
  <c r="I2497" i="5"/>
  <c r="H2497" i="5"/>
  <c r="S2501" i="5"/>
  <c r="F64" i="6"/>
  <c r="G5" i="6"/>
  <c r="H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c r="G51" i="6" s="1"/>
  <c r="H51" i="6" s="1"/>
  <c r="D51" i="6" s="1"/>
  <c r="G16" i="6"/>
  <c r="H16" i="6" s="1"/>
  <c r="B19" i="6"/>
  <c r="F24" i="6" s="1"/>
  <c r="A38" i="2"/>
  <c r="J4" i="5"/>
  <c r="B41" i="4"/>
  <c r="A2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C21" i="6" s="1"/>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X347" i="5"/>
  <c r="S598" i="5"/>
  <c r="X503" i="5"/>
  <c r="X559" i="5"/>
  <c r="S532" i="5"/>
  <c r="S356" i="5"/>
  <c r="S343" i="5"/>
  <c r="X335" i="5"/>
  <c r="X325" i="5"/>
  <c r="S315" i="5"/>
  <c r="X327" i="5"/>
  <c r="S357" i="5"/>
  <c r="X383"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X23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41" i="6"/>
  <c r="G41" i="6" s="1"/>
  <c r="B31" i="6"/>
  <c r="G31"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X1035"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B39" i="6"/>
  <c r="G39" i="6"/>
  <c r="B34" i="6"/>
  <c r="G34" i="6"/>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X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X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c r="H26" i="6" s="1"/>
  <c r="D26" i="6" s="1"/>
  <c r="G21" i="6"/>
  <c r="H21" i="6"/>
  <c r="B36" i="6"/>
  <c r="G36" i="6" s="1"/>
  <c r="H2439" i="5"/>
  <c r="F2439" i="5"/>
  <c r="X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X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X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X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X675"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H67" i="6" s="1"/>
  <c r="D67" i="6" s="1"/>
  <c r="F31" i="6"/>
  <c r="F46" i="6"/>
  <c r="H46" i="6" s="1"/>
  <c r="D46" i="6" s="1"/>
  <c r="F41" i="6"/>
  <c r="F36" i="6"/>
  <c r="H36" i="6" s="1"/>
  <c r="D36" i="6" s="1"/>
  <c r="F5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X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X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X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X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R663" i="5"/>
  <c r="J663" i="5"/>
  <c r="I663" i="5"/>
  <c r="H663" i="5"/>
  <c r="F663" i="5"/>
  <c r="X655" i="5"/>
  <c r="R655" i="5"/>
  <c r="J655" i="5"/>
  <c r="I655" i="5"/>
  <c r="H655" i="5"/>
  <c r="F655" i="5"/>
  <c r="X647" i="5"/>
  <c r="R647" i="5"/>
  <c r="J647" i="5"/>
  <c r="I647" i="5"/>
  <c r="H647" i="5"/>
  <c r="F647" i="5"/>
  <c r="X639" i="5"/>
  <c r="R639" i="5"/>
  <c r="J639" i="5"/>
  <c r="I639" i="5"/>
  <c r="H639" i="5"/>
  <c r="F639"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X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X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X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X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X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S597" i="5"/>
  <c r="X599" i="5"/>
  <c r="S599" i="5"/>
  <c r="S611" i="5"/>
  <c r="S601" i="5"/>
  <c r="X467" i="5"/>
  <c r="X407" i="5"/>
  <c r="X151" i="5"/>
  <c r="X103" i="5"/>
  <c r="X339" i="5"/>
  <c r="X591" i="5"/>
  <c r="X595" i="5"/>
  <c r="X439" i="5"/>
  <c r="S600" i="5"/>
  <c r="X191" i="5"/>
  <c r="X243" i="5"/>
  <c r="X403" i="5"/>
  <c r="S382" i="5"/>
  <c r="X367" i="5"/>
  <c r="X475" i="5"/>
  <c r="X431" i="5"/>
  <c r="X115" i="5"/>
  <c r="S533" i="5"/>
  <c r="X575" i="5"/>
  <c r="X355" i="5"/>
  <c r="S355" i="5"/>
  <c r="X391" i="5"/>
  <c r="S602" i="5"/>
  <c r="X603" i="5"/>
  <c r="S603" i="5"/>
  <c r="S605" i="5"/>
  <c r="X279" i="5"/>
  <c r="X607" i="5"/>
  <c r="S607" i="5"/>
  <c r="X579" i="5"/>
  <c r="X211" i="5"/>
  <c r="X43" i="5"/>
  <c r="X87" i="5"/>
  <c r="S314" i="5"/>
  <c r="X583" i="5"/>
  <c r="X239" i="5"/>
  <c r="X71" i="5"/>
  <c r="H31" i="6"/>
  <c r="D31" i="6" s="1"/>
  <c r="AB12" i="5"/>
  <c r="AB9" i="5"/>
  <c r="AB10" i="5"/>
  <c r="AB14" i="5"/>
  <c r="AB17" i="5"/>
  <c r="AB16" i="5"/>
  <c r="AB8" i="5"/>
  <c r="AB13" i="5"/>
  <c r="AB15" i="5"/>
  <c r="AB11" i="5"/>
  <c r="AB7" i="5"/>
  <c r="D21"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G67" i="6"/>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X11" i="5"/>
  <c r="X7" i="5"/>
  <c r="S17" i="5"/>
  <c r="S12" i="5"/>
  <c r="S16" i="5"/>
  <c r="S15" i="5"/>
  <c r="S13" i="5"/>
  <c r="S14" i="5"/>
  <c r="S10" i="5"/>
  <c r="S11" i="5"/>
  <c r="S8" i="5"/>
  <c r="S9" i="5"/>
  <c r="S7" i="5"/>
  <c r="G64" i="6" a="1"/>
  <c r="B70" i="4" l="1"/>
  <c r="A51" i="6" s="1"/>
  <c r="B52" i="6"/>
  <c r="G52" i="6" s="1"/>
  <c r="F27" i="6"/>
  <c r="B32" i="6"/>
  <c r="G32" i="6" s="1"/>
  <c r="B37" i="6"/>
  <c r="G37" i="6" s="1"/>
  <c r="B27" i="6"/>
  <c r="G27" i="6" s="1"/>
  <c r="B42" i="6"/>
  <c r="G42" i="6" s="1"/>
  <c r="G22" i="6"/>
  <c r="H22" i="6" s="1"/>
  <c r="D22" i="6" s="1"/>
  <c r="B47" i="6"/>
  <c r="G47" i="6" s="1"/>
  <c r="D17" i="6"/>
  <c r="C22" i="6"/>
  <c r="C17" i="6"/>
  <c r="H41" i="6"/>
  <c r="D41" i="6" s="1"/>
  <c r="K67" i="6"/>
  <c r="D16" i="6"/>
  <c r="C36" i="6"/>
  <c r="C51" i="6"/>
  <c r="C41" i="6"/>
  <c r="C31" i="6"/>
  <c r="C46" i="6"/>
  <c r="C16" i="6"/>
  <c r="C67" i="6"/>
  <c r="C26" i="6"/>
  <c r="B20" i="6"/>
  <c r="G20" i="6" s="1"/>
  <c r="B40" i="6"/>
  <c r="G40" i="6" s="1"/>
  <c r="G15" i="6"/>
  <c r="H15" i="6" s="1"/>
  <c r="F20" i="6"/>
  <c r="D49" i="4"/>
  <c r="C15" i="6"/>
  <c r="F49" i="6"/>
  <c r="F65" i="6"/>
  <c r="F44" i="6"/>
  <c r="F29" i="6"/>
  <c r="F39" i="6"/>
  <c r="H39" i="6" s="1"/>
  <c r="D39" i="6" s="1"/>
  <c r="F34" i="6"/>
  <c r="H34" i="6" s="1"/>
  <c r="D34" i="6" s="1"/>
  <c r="B79" i="4"/>
  <c r="A57" i="6" s="1"/>
  <c r="B61" i="4"/>
  <c r="A43" i="6" s="1"/>
  <c r="B49" i="4"/>
  <c r="A33" i="6" s="1"/>
  <c r="B31" i="4"/>
  <c r="A18" i="6" s="1"/>
  <c r="B87" i="4"/>
  <c r="A62" i="6" s="1"/>
  <c r="B75" i="4"/>
  <c r="A54" i="6" s="1"/>
  <c r="B85" i="4"/>
  <c r="A60" i="6" s="1"/>
  <c r="B55" i="4"/>
  <c r="A38" i="6" s="1"/>
  <c r="B81" i="4"/>
  <c r="A58" i="6" s="1"/>
  <c r="B67" i="4"/>
  <c r="A48" i="6" s="1"/>
  <c r="B43" i="4"/>
  <c r="A28" i="6" s="1"/>
  <c r="B89" i="4"/>
  <c r="A63" i="6" s="1"/>
  <c r="B37" i="4"/>
  <c r="A23" i="6" s="1"/>
  <c r="B77" i="4"/>
  <c r="A55" i="6" s="1"/>
  <c r="B83" i="4"/>
  <c r="A59" i="6" s="1"/>
  <c r="D14" i="6"/>
  <c r="K65" i="6"/>
  <c r="C14" i="6"/>
  <c r="G19" i="6"/>
  <c r="H19" i="6" s="1"/>
  <c r="D19" i="6" s="1"/>
  <c r="B49" i="6"/>
  <c r="G49" i="6" s="1"/>
  <c r="B24" i="6"/>
  <c r="G24" i="6" s="1"/>
  <c r="H24" i="6" s="1"/>
  <c r="C34" i="6"/>
  <c r="B44" i="6"/>
  <c r="G44" i="6" s="1"/>
  <c r="C19" i="6"/>
  <c r="B29" i="6"/>
  <c r="G29" i="6" s="1"/>
  <c r="C39" i="6"/>
  <c r="C12" i="6"/>
  <c r="B35" i="4"/>
  <c r="A22" i="6" s="1"/>
  <c r="C11" i="6"/>
  <c r="C10" i="6"/>
  <c r="C9" i="6"/>
  <c r="D31" i="4"/>
  <c r="D8" i="6"/>
  <c r="C8" i="6"/>
  <c r="C7" i="6"/>
  <c r="B32" i="4"/>
  <c r="A19" i="6" s="1"/>
  <c r="H6" i="6"/>
  <c r="D6" i="6" s="1"/>
  <c r="B34" i="4"/>
  <c r="A21" i="6" s="1"/>
  <c r="B50" i="4"/>
  <c r="A34" i="6" s="1"/>
  <c r="D43" i="4"/>
  <c r="B62" i="4"/>
  <c r="A44" i="6" s="1"/>
  <c r="A26" i="6"/>
  <c r="B56" i="4"/>
  <c r="A39" i="6" s="1"/>
  <c r="D55" i="4"/>
  <c r="A24" i="6"/>
  <c r="B52" i="4"/>
  <c r="A36" i="6" s="1"/>
  <c r="A15" i="6"/>
  <c r="D5" i="6"/>
  <c r="C5" i="6"/>
  <c r="G55" i="4"/>
  <c r="G37" i="4"/>
  <c r="G43" i="4"/>
  <c r="G74" i="4"/>
  <c r="G49" i="4"/>
  <c r="G67" i="4"/>
  <c r="G31" i="4"/>
  <c r="C4" i="6"/>
  <c r="B64" i="4"/>
  <c r="A46" i="6" s="1"/>
  <c r="B59" i="4"/>
  <c r="A42" i="6" s="1"/>
  <c r="G64" i="6"/>
  <c r="B51" i="4"/>
  <c r="A35" i="6" s="1"/>
  <c r="A25" i="6"/>
  <c r="D37" i="4"/>
  <c r="D61" i="4"/>
  <c r="D67" i="4"/>
  <c r="B71" i="4"/>
  <c r="A52" i="6" s="1"/>
  <c r="B53" i="4"/>
  <c r="A37" i="6" s="1"/>
  <c r="B63" i="4"/>
  <c r="A45" i="6" s="1"/>
  <c r="B65" i="4"/>
  <c r="A47" i="6" s="1"/>
  <c r="B69" i="4"/>
  <c r="A50" i="6" s="1"/>
  <c r="G69" i="6" a="1"/>
  <c r="G69" i="6" s="1"/>
  <c r="H69" i="6" s="1"/>
  <c r="C6" i="6" l="1"/>
  <c r="K68" i="6"/>
  <c r="F42" i="6"/>
  <c r="H42" i="6" s="1"/>
  <c r="F37" i="6"/>
  <c r="H37" i="6" s="1"/>
  <c r="F47" i="6"/>
  <c r="H47" i="6" s="1"/>
  <c r="H27" i="6"/>
  <c r="F68" i="6"/>
  <c r="H68" i="6" s="1"/>
  <c r="F32" i="6"/>
  <c r="H32" i="6" s="1"/>
  <c r="F52" i="6"/>
  <c r="H52" i="6" s="1"/>
  <c r="F25" i="6"/>
  <c r="B45" i="6"/>
  <c r="G45" i="6" s="1"/>
  <c r="H20" i="6"/>
  <c r="D15" i="6"/>
  <c r="K66" i="6"/>
  <c r="B30" i="6"/>
  <c r="G30" i="6" s="1"/>
  <c r="B50" i="6"/>
  <c r="G50" i="6" s="1"/>
  <c r="B35" i="6"/>
  <c r="G35" i="6" s="1"/>
  <c r="B25" i="6"/>
  <c r="G25" i="6" s="1"/>
  <c r="D24" i="6"/>
  <c r="C24" i="6"/>
  <c r="H29" i="6"/>
  <c r="H44" i="6"/>
  <c r="C2" i="6"/>
  <c r="H65" i="6"/>
  <c r="B2" i="6"/>
  <c r="H49" i="6"/>
  <c r="H64" i="6"/>
  <c r="B64" i="6"/>
  <c r="D52" i="6" l="1"/>
  <c r="C52" i="6"/>
  <c r="D32" i="6"/>
  <c r="C32" i="6"/>
  <c r="D68" i="6"/>
  <c r="C68" i="6"/>
  <c r="D27" i="6"/>
  <c r="C27" i="6"/>
  <c r="D47" i="6"/>
  <c r="C47" i="6"/>
  <c r="D37" i="6"/>
  <c r="C37" i="6"/>
  <c r="D42" i="6"/>
  <c r="C42" i="6"/>
  <c r="F45" i="6"/>
  <c r="H45" i="6" s="1"/>
  <c r="H25" i="6"/>
  <c r="F35" i="6"/>
  <c r="H35" i="6" s="1"/>
  <c r="F40" i="6"/>
  <c r="H40" i="6" s="1"/>
  <c r="F66" i="6"/>
  <c r="H66" i="6" s="1"/>
  <c r="F50" i="6"/>
  <c r="H50" i="6" s="1"/>
  <c r="F30" i="6"/>
  <c r="H30" i="6" s="1"/>
  <c r="F54" i="6"/>
  <c r="D20" i="6"/>
  <c r="C20" i="6"/>
  <c r="D65" i="6"/>
  <c r="C65" i="6"/>
  <c r="D44" i="6"/>
  <c r="C44" i="6"/>
  <c r="D49" i="6"/>
  <c r="C49" i="6"/>
  <c r="D29" i="6"/>
  <c r="C29" i="6"/>
  <c r="D64" i="6"/>
  <c r="C64" i="6"/>
  <c r="D45" i="6" l="1"/>
  <c r="C45" i="6"/>
  <c r="F55" i="6"/>
  <c r="F63" i="6"/>
  <c r="H63" i="6" s="1"/>
  <c r="F60" i="6"/>
  <c r="H60" i="6" s="1"/>
  <c r="F57" i="6"/>
  <c r="H57" i="6" s="1"/>
  <c r="F62" i="6"/>
  <c r="H62" i="6" s="1"/>
  <c r="H54" i="6"/>
  <c r="F59" i="6"/>
  <c r="H59" i="6" s="1"/>
  <c r="F58" i="6"/>
  <c r="H58" i="6" s="1"/>
  <c r="D30" i="6"/>
  <c r="C30" i="6"/>
  <c r="D66" i="6"/>
  <c r="C66" i="6"/>
  <c r="D40" i="6"/>
  <c r="C40" i="6"/>
  <c r="D25" i="6"/>
  <c r="C25" i="6"/>
  <c r="D50" i="6"/>
  <c r="C50" i="6"/>
  <c r="D35" i="6"/>
  <c r="C35" i="6"/>
  <c r="D54" i="6" l="1"/>
  <c r="C54" i="6"/>
  <c r="D62" i="6"/>
  <c r="C62" i="6"/>
  <c r="D57" i="6"/>
  <c r="C57" i="6"/>
  <c r="D60" i="6"/>
  <c r="C60" i="6"/>
  <c r="D63" i="6"/>
  <c r="C63" i="6"/>
  <c r="D58" i="6"/>
  <c r="C58" i="6"/>
  <c r="C59" i="6"/>
  <c r="D59" i="6"/>
  <c r="H55" i="6"/>
  <c r="F56" i="6"/>
  <c r="H56" i="6" s="1"/>
  <c r="H70" i="6" l="1"/>
  <c r="D2" i="6" s="1"/>
  <c r="C56" i="6"/>
  <c r="D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<sst xmlns="http://schemas.openxmlformats.org/spreadsheetml/2006/main" count="22313" uniqueCount="15802">
  <si>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</si>
  <si>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</si>
  <si>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</si>
  <si>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</si>
  <si>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</si>
  <si>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</si>
  <si>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</si>
  <si>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</si>
  <si>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</si>
  <si>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</si>
  <si>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</si>
  <si>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</si>
  <si>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</si>
  <si>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</si>
  <si>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</si>
  <si>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</si>
  <si>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</si>
  <si>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</si>
  <si>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</si>
  <si>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</si>
  <si>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</si>
  <si>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</si>
  <si>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</si>
  <si>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</si>
  <si>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</si>
  <si>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</si>
  <si>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</si>
  <si>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</si>
  <si>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</si>
  <si>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</si>
  <si>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</si>
  <si>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</si>
  <si>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</si>
  <si>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</si>
  <si>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</si>
  <si>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</si>
  <si>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</si>
  <si>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</si>
  <si>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</si>
  <si>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</si>
  <si>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</si>
  <si>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</si>
  <si>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</si>
  <si>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</si>
  <si>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</si>
  <si>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</si>
  <si>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</si>
  <si>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</si>
  <si>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</si>
  <si>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</si>
  <si>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</si>
  <si>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</si>
  <si>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</si>
  <si>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</si>
  <si>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</si>
  <si>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</si>
  <si>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</si>
  <si>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</si>
  <si>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</si>
  <si>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</si>
  <si>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</si>
  <si>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</si>
  <si>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</si>
  <si>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</si>
  <si>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</si>
  <si>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</si>
  <si>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</si>
  <si>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</si>
  <si>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</si>
  <si>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</si>
  <si>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</si>
  <si>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</si>
  <si>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</si>
  <si>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</si>
  <si>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</si>
  <si>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</si>
  <si>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</si>
  <si>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</si>
  <si>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</si>
  <si>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</si>
  <si>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</si>
  <si>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</si>
  <si>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</si>
  <si>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</si>
  <si>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</si>
  <si>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</si>
  <si>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</si>
  <si>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</si>
  <si>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</si>
  <si>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</si>
  <si>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</si>
  <si>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</si>
  <si>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</si>
  <si>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</si>
  <si>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</si>
  <si>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</si>
  <si>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</si>
  <si>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</si>
  <si>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</si>
  <si>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</si>
  <si>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</si>
  <si>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</si>
  <si>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</si>
  <si>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</si>
  <si>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</si>
  <si>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</si>
  <si>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</si>
  <si>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</si>
  <si>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</si>
  <si>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</si>
  <si>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</si>
  <si>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</si>
  <si>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</si>
  <si>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</si>
  <si>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</si>
  <si>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</si>
  <si>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</si>
  <si>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</si>
  <si>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</si>
  <si>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</si>
  <si>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</si>
  <si>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</si>
  <si>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</si>
  <si>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</si>
  <si>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</si>
  <si>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</si>
  <si>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</si>
  <si>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</si>
  <si>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</si>
  <si>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</si>
  <si>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</si>
  <si>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</si>
  <si>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</si>
  <si>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</si>
  <si>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</si>
  <si>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</si>
  <si>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</si>
  <si>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</si>
  <si>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</si>
  <si>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</si>
  <si>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</si>
  <si>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</si>
  <si>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</si>
  <si>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</si>
  <si>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</si>
  <si>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</si>
  <si>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</si>
  <si>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</si>
  <si>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</si>
  <si>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</si>
  <si>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</si>
  <si>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</si>
  <si>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</si>
  <si>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</si>
  <si>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</si>
  <si>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</si>
  <si>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</si>
  <si>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</si>
  <si>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</si>
  <si>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</si>
  <si>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</si>
  <si>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</si>
  <si>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</si>
  <si>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</si>
  <si>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</si>
  <si>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</si>
  <si>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</si>
  <si>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</si>
  <si>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</si>
  <si>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</si>
  <si>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</si>
  <si>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</si>
  <si>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</si>
  <si>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</si>
  <si>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</si>
  <si>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</si>
  <si>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</si>
  <si>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</si>
  <si>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</si>
  <si>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</si>
  <si>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</si>
  <si>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</si>
  <si>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</si>
  <si>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</si>
  <si>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</si>
  <si>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</si>
  <si>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</si>
  <si>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</si>
  <si>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</si>
  <si>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</si>
  <si>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</si>
  <si>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</si>
  <si>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</si>
  <si>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</si>
  <si>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</si>
  <si>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</si>
  <si>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</si>
  <si>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</si>
  <si>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</si>
  <si>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</si>
  <si>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</si>
  <si>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</si>
  <si>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</si>
  <si>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</si>
  <si>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</si>
  <si>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</si>
  <si>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</si>
  <si>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</si>
  <si>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</si>
  <si>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</si>
  <si>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</si>
  <si>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</si>
  <si>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</si>
  <si>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</si>
  <si>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</si>
  <si>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</si>
  <si>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</si>
  <si>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</si>
  <si>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</si>
  <si>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</si>
  <si>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</si>
  <si>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</si>
  <si>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</si>
  <si>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</si>
  <si>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</si>
  <si>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</si>
  <si>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</si>
  <si>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</si>
  <si>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</si>
  <si>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</si>
  <si>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</si>
  <si>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</si>
  <si>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</si>
  <si>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</si>
  <si>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</si>
  <si>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</si>
  <si>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</si>
  <si>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</si>
  <si>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</si>
  <si>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</si>
  <si>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</si>
  <si>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</si>
  <si>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</si>
  <si>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</si>
  <si>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</si>
  <si>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</si>
  <si>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</si>
  <si>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</si>
  <si>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</si>
  <si>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</si>
  <si>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</si>
  <si>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</si>
  <si>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</si>
  <si>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</si>
  <si>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</si>
  <si>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</si>
  <si>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</si>
  <si>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</si>
  <si>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</si>
  <si>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</si>
  <si>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</si>
  <si>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</si>
  <si>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</si>
  <si>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</si>
  <si>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</si>
  <si>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</si>
  <si>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</si>
  <si>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</si>
  <si>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</si>
  <si>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</si>
  <si>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</si>
  <si>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</si>
  <si>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</si>
  <si>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</si>
  <si>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</si>
  <si>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</si>
  <si>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</si>
  <si>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</si>
  <si>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</si>
  <si>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</si>
  <si>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</si>
  <si>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</si>
  <si>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</si>
  <si>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</si>
  <si>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</si>
  <si>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</si>
  <si>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</si>
  <si>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</si>
  <si>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</si>
  <si>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</si>
  <si>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</si>
  <si>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</si>
  <si>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</si>
  <si>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</si>
  <si>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</si>
  <si>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</si>
  <si>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</si>
  <si>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</si>
  <si>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</si>
  <si>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</si>
  <si>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</si>
  <si>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</si>
  <si>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</si>
  <si>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</si>
  <si>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</si>
  <si>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</si>
  <si>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</si>
  <si>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</si>
  <si>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</si>
  <si>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</si>
  <si>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</si>
  <si>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</si>
  <si>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</si>
  <si>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</si>
  <si>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</si>
  <si>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</si>
  <si>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</si>
  <si>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</si>
  <si>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</si>
  <si>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</si>
  <si>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</si>
  <si>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</si>
  <si>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</si>
  <si>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</si>
  <si>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</si>
  <si>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</si>
  <si>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</si>
  <si>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</si>
  <si>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</si>
  <si>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</si>
  <si>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</si>
  <si>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</si>
  <si>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</si>
  <si>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</si>
  <si>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</si>
  <si>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</si>
  <si>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</si>
  <si>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</si>
  <si>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</si>
  <si>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</si>
  <si>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</si>
  <si>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</si>
  <si>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</si>
  <si>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</si>
  <si>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</si>
  <si>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</si>
  <si>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</si>
  <si>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</si>
  <si>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</si>
  <si>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</si>
  <si>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</si>
  <si>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</si>
  <si>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</si>
  <si>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</si>
  <si>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</si>
  <si>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</si>
  <si>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</si>
  <si>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</si>
  <si>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</si>
  <si>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</si>
  <si>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</si>
  <si>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</si>
  <si>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</si>
  <si>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</si>
  <si>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</si>
  <si>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</si>
  <si>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</si>
  <si>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</si>
  <si>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</si>
  <si>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</si>
  <si>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</si>
  <si>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</si>
  <si>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</si>
  <si>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</si>
  <si>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</si>
  <si>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</si>
  <si>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</si>
  <si>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</si>
  <si>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</si>
  <si>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</si>
  <si>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</si>
  <si>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</si>
  <si>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</si>
  <si>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</si>
  <si>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</si>
  <si>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</si>
  <si>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</si>
  <si>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</si>
  <si>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</si>
  <si>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</si>
  <si>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</si>
  <si>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</si>
  <si>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</si>
  <si>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</si>
  <si>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</si>
  <si>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</si>
  <si>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</si>
  <si>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</si>
  <si>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</si>
  <si>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</si>
  <si>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</si>
  <si>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</si>
  <si>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</si>
  <si>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</si>
  <si>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</si>
  <si>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</si>
  <si>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</si>
  <si>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</si>
  <si>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</si>
  <si>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</si>
  <si>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</si>
  <si>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</si>
  <si>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</si>
  <si>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</si>
  <si>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</si>
  <si>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</si>
  <si>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</si>
  <si>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</si>
  <si>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</si>
  <si>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</si>
  <si>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</si>
  <si>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</si>
  <si>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</si>
  <si>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</si>
  <si>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</si>
  <si>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</si>
  <si>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</si>
  <si>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</si>
  <si>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</si>
  <si>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</si>
  <si>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</si>
  <si>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</si>
  <si>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</si>
  <si>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</si>
  <si>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</si>
  <si>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</si>
  <si>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</si>
  <si>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</si>
  <si>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</si>
  <si>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</si>
  <si>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</si>
  <si>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</si>
  <si>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</si>
  <si>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</si>
  <si>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</si>
  <si>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</si>
  <si>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</si>
  <si>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</si>
  <si>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</si>
  <si>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</si>
  <si>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</si>
  <si>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</si>
  <si>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</si>
  <si>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</si>
  <si>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</si>
  <si>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</si>
  <si>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</si>
  <si>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</si>
  <si>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</si>
  <si>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</si>
  <si>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</si>
  <si>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</si>
  <si>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</si>
  <si>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</si>
  <si>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</si>
  <si>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</si>
  <si>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</si>
  <si>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</si>
  <si>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</si>
  <si>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</si>
  <si>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</si>
  <si>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</si>
  <si>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</si>
  <si>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</si>
  <si>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</si>
  <si>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</si>
  <si>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</si>
  <si>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</si>
  <si>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</si>
  <si>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</si>
  <si>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</si>
  <si>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</si>
  <si>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</si>
  <si>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</si>
  <si>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</si>
  <si>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</si>
  <si>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</si>
  <si>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</si>
  <si>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</si>
  <si>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</si>
  <si>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</si>
  <si>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</si>
  <si>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</si>
  <si>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</si>
  <si>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</si>
  <si>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</si>
  <si>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</si>
  <si>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</si>
  <si>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</si>
  <si>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</si>
  <si>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</si>
  <si>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</si>
  <si>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</si>
  <si>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</si>
  <si>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</si>
  <si>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</si>
  <si>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</si>
  <si>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</si>
  <si>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</si>
  <si>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</si>
  <si>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</si>
  <si>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</si>
  <si>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</si>
  <si>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</si>
  <si>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</si>
  <si>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</si>
  <si>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</si>
  <si>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</si>
  <si>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</si>
  <si>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</si>
  <si>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</si>
  <si>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</si>
  <si>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</si>
  <si>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</si>
  <si>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</si>
  <si>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</si>
  <si>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</si>
  <si>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</si>
  <si>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</si>
  <si>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</si>
  <si>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</si>
  <si>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</si>
  <si>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</si>
  <si>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</si>
  <si>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</si>
  <si>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</si>
  <si>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</si>
  <si>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</si>
  <si>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</si>
  <si>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</si>
  <si>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</si>
  <si>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</si>
  <si>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</si>
  <si>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</si>
  <si>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</si>
  <si>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</si>
  <si>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</si>
  <si>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</si>
  <si>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</si>
  <si>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</si>
  <si>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</si>
  <si>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</si>
  <si>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</si>
  <si>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</si>
  <si>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</si>
  <si>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</si>
  <si>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</si>
  <si>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</si>
  <si>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</si>
  <si>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</si>
  <si>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</si>
  <si>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</si>
  <si>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</si>
  <si>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</si>
  <si>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</si>
  <si>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</si>
  <si>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</si>
  <si>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</si>
  <si>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</si>
  <si>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</si>
  <si>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</si>
  <si>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</si>
  <si>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</si>
  <si>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</si>
  <si>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</si>
  <si>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</si>
  <si>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</si>
  <si>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</si>
  <si>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</si>
  <si>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</si>
  <si>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</si>
  <si>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</si>
  <si>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</si>
  <si>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</si>
  <si>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</si>
  <si>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</si>
  <si>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</si>
  <si>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</si>
  <si>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</si>
  <si>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</si>
  <si>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</si>
  <si>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</si>
  <si>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</si>
  <si>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</si>
  <si>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</si>
  <si>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</si>
  <si>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</si>
  <si>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</si>
  <si>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</si>
  <si>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</si>
  <si>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</si>
  <si>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</si>
  <si>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</si>
  <si>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</si>
  <si>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</si>
  <si>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</si>
  <si>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</si>
  <si>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</si>
  <si>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</si>
  <si>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</si>
  <si>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</si>
  <si>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</si>
  <si>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</si>
  <si>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</si>
  <si>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</si>
  <si>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</si>
  <si>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</si>
  <si>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</si>
  <si>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</si>
  <si>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</si>
  <si>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</si>
  <si>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</si>
  <si>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</si>
  <si>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</si>
  <si>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</si>
  <si>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</si>
  <si>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</si>
  <si>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</si>
  <si>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</si>
  <si>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</si>
  <si>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</si>
  <si>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</si>
  <si>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</si>
  <si>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</si>
  <si>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</si>
  <si>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</si>
  <si>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</si>
  <si>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</si>
  <si>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</si>
  <si>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</si>
  <si>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</si>
  <si>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</si>
  <si>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</si>
  <si>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</si>
  <si>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</si>
  <si>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</si>
  <si>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</si>
  <si>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</si>
  <si>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</si>
  <si>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</si>
  <si>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</si>
  <si>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</si>
  <si>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</si>
  <si>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</si>
  <si>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</si>
  <si>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</si>
  <si>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</si>
  <si>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</si>
  <si>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</si>
  <si>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</si>
  <si>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</si>
  <si>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</si>
  <si>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</si>
  <si>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</si>
  <si>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</si>
  <si>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</si>
  <si>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</si>
  <si>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</si>
  <si>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</si>
  <si>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</si>
  <si>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</si>
  <si>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</si>
  <si>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</si>
  <si>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</si>
  <si>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</si>
  <si>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</si>
  <si>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</si>
  <si>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</si>
  <si>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</si>
  <si>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</si>
  <si>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</si>
  <si>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</si>
  <si>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</si>
  <si>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</si>
  <si>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</si>
  <si>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</si>
  <si>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</si>
  <si>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</si>
  <si>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</si>
  <si>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</si>
  <si>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</si>
  <si>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</si>
  <si>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</si>
  <si>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</si>
  <si>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</si>
  <si>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</si>
  <si>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</si>
  <si>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</si>
  <si>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</si>
  <si>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</si>
  <si>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</si>
  <si>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</si>
  <si>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</si>
  <si>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</si>
  <si>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</si>
  <si>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</si>
  <si>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</si>
  <si>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</si>
  <si>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</si>
  <si>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</si>
  <si>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</si>
  <si>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</si>
  <si>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</si>
  <si>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</si>
  <si>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</si>
  <si>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</si>
  <si>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</si>
  <si>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</si>
  <si>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</si>
  <si>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</si>
  <si>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</si>
  <si>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</si>
  <si>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</si>
  <si>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</si>
  <si>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</si>
  <si>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</si>
  <si>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</si>
  <si>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</si>
  <si>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</si>
  <si>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</si>
  <si>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</si>
  <si>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</si>
  <si>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</si>
  <si>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</si>
  <si>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</si>
  <si>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</si>
  <si>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</si>
  <si>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</si>
  <si>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</si>
  <si>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</si>
  <si>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</si>
  <si>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</si>
  <si>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</si>
  <si>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</si>
  <si>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</si>
  <si>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</si>
  <si>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</si>
  <si>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</si>
  <si>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</si>
  <si>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</si>
  <si>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</si>
  <si>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</si>
  <si>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</si>
  <si>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</si>
  <si>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</si>
  <si>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</si>
  <si>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</si>
  <si>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</si>
  <si>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</si>
  <si>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</si>
  <si>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</si>
  <si>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</si>
  <si>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</si>
  <si>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</si>
  <si>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</si>
  <si>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</si>
  <si>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</si>
  <si>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</si>
  <si>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</si>
  <si>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</si>
  <si>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</si>
  <si>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</si>
  <si>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</si>
  <si>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</si>
  <si>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</si>
  <si>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</si>
  <si>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</si>
  <si>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</si>
  <si>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</si>
  <si>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</si>
  <si>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</si>
  <si>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</si>
  <si>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</si>
  <si>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</si>
  <si>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</si>
  <si>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</si>
  <si>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</si>
  <si>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</si>
  <si>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</si>
  <si>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</si>
  <si>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</si>
  <si>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</si>
  <si>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</si>
  <si>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</si>
  <si>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</si>
  <si>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</si>
  <si>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</si>
  <si>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</si>
  <si>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</si>
  <si>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</si>
  <si>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</si>
  <si>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</si>
  <si>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</si>
  <si>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</si>
  <si>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</si>
  <si>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</si>
  <si>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</si>
  <si>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</si>
  <si>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</si>
  <si>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</si>
  <si>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</si>
  <si>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</si>
  <si>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</si>
  <si>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</si>
  <si>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</si>
  <si>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</si>
  <si>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</si>
  <si>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</si>
  <si>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</si>
  <si>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</si>
  <si>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</si>
  <si>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</si>
  <si>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</si>
  <si>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</si>
  <si>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</si>
  <si>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</si>
  <si>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</si>
  <si>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</si>
  <si>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</si>
  <si>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</si>
  <si>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</si>
  <si>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</si>
  <si>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</si>
  <si>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</si>
  <si>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</si>
  <si>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</si>
  <si>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</si>
  <si>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</si>
  <si>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</si>
  <si>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</si>
  <si>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</si>
  <si>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</si>
  <si>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</si>
  <si>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</si>
  <si>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</si>
  <si>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</si>
  <si>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</si>
  <si>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</si>
  <si>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</si>
  <si>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</si>
  <si>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</si>
  <si>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</si>
  <si>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</si>
  <si>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</si>
  <si>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</si>
  <si>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</si>
  <si>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</si>
  <si>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</si>
  <si>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</si>
  <si>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</si>
  <si>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</si>
  <si>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</si>
  <si>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</si>
  <si>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</si>
  <si>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</si>
  <si>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</si>
  <si>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</si>
  <si>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</si>
  <si>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</si>
  <si>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</si>
  <si>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</si>
  <si>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</si>
  <si>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</si>
  <si>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</si>
  <si>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</si>
  <si>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</si>
  <si>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</si>
  <si>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</si>
  <si>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</si>
  <si>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</si>
  <si>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</si>
  <si>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</si>
  <si>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</si>
  <si>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</si>
  <si>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</si>
  <si>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</si>
  <si>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</si>
  <si>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</si>
  <si>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</si>
  <si>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</si>
  <si>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</si>
  <si>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</si>
  <si>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</si>
  <si>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</si>
  <si>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</si>
  <si>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</si>
  <si>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</si>
  <si>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</si>
  <si>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</si>
  <si>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</si>
  <si>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</si>
  <si>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</si>
  <si>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</si>
  <si>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</si>
  <si>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</si>
  <si>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</si>
  <si>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</si>
  <si>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</si>
  <si>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</si>
  <si>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</si>
  <si>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</si>
  <si>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</si>
  <si>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</si>
  <si>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</si>
  <si>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</si>
  <si>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</si>
  <si>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</si>
  <si>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</si>
  <si>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</si>
  <si>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</si>
  <si>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</si>
  <si>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</si>
  <si>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</si>
  <si>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</si>
  <si>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</si>
  <si>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</si>
  <si>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</si>
  <si>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</si>
  <si>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</si>
  <si>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</si>
  <si>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</si>
  <si>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</si>
  <si>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</si>
  <si>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</si>
  <si>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</si>
  <si>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</si>
  <si>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</si>
  <si>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</si>
  <si>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</si>
  <si>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</si>
  <si>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</si>
  <si>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</si>
  <si>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</si>
  <si>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</si>
  <si>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</si>
  <si>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</si>
  <si>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</si>
  <si>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</si>
  <si>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</si>
  <si>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</si>
  <si>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</si>
  <si>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</si>
  <si>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</si>
  <si>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</si>
  <si>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</si>
  <si>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</si>
  <si>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</si>
  <si>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</si>
  <si>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</si>
  <si>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</si>
  <si>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</si>
  <si>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</si>
  <si>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</si>
  <si>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</si>
  <si>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</si>
  <si>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</si>
  <si>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</si>
  <si>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</si>
  <si>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</si>
  <si>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</si>
  <si>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</si>
  <si>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</si>
  <si>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</si>
  <si>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</si>
  <si>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</si>
  <si>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</si>
  <si>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</si>
  <si>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</si>
  <si>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</si>
  <si>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</si>
  <si>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</si>
  <si>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</si>
  <si>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</si>
  <si>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</si>
  <si>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</si>
  <si>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</si>
  <si>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</si>
  <si>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</si>
  <si>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</si>
  <si>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</si>
  <si>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</si>
  <si>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</si>
  <si>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</si>
  <si>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</si>
  <si>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</si>
  <si>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</si>
  <si>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</si>
  <si>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</si>
  <si>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</si>
  <si>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</si>
  <si>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</si>
  <si>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</si>
  <si>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</si>
  <si>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</si>
  <si>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</si>
  <si>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</si>
  <si>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</si>
  <si>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</si>
  <si>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</si>
  <si>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</si>
  <si>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</si>
  <si>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</si>
  <si>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</si>
  <si>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</si>
  <si>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</si>
  <si>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</si>
  <si>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</si>
  <si>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</si>
  <si>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</si>
  <si>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</si>
  <si>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</si>
  <si>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</si>
  <si>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</si>
  <si>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</si>
  <si>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</si>
  <si>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</si>
  <si>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</si>
  <si>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</si>
  <si>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</si>
  <si>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</si>
  <si>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</si>
  <si>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</si>
  <si>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</si>
  <si>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</si>
  <si>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</si>
  <si>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</si>
  <si>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</si>
  <si>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</si>
  <si>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</si>
  <si>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</si>
  <si>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</si>
  <si>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</si>
  <si>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</si>
  <si>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</si>
  <si>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</si>
  <si>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</si>
  <si>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</si>
  <si>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</si>
  <si>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</si>
  <si>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</si>
  <si>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</si>
  <si>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</si>
  <si>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</si>
  <si>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</si>
  <si>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</si>
  <si>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</si>
  <si>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</si>
  <si>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</si>
  <si>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</si>
  <si>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</si>
  <si>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</si>
  <si>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</si>
  <si>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</si>
  <si>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</si>
  <si>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</si>
  <si>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</si>
  <si>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</si>
  <si>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</si>
  <si>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</si>
  <si>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</si>
  <si>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</si>
  <si>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</si>
  <si>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</si>
  <si>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</si>
  <si>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</si>
  <si>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</si>
  <si>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</si>
  <si>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</si>
  <si>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</si>
  <si>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</si>
  <si>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</si>
  <si>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</si>
  <si>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</si>
  <si>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</si>
  <si>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</si>
  <si>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</si>
  <si>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</si>
  <si>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</si>
  <si>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</si>
  <si>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</si>
  <si>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</si>
  <si>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</si>
  <si>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</si>
  <si>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</si>
  <si>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</si>
  <si>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</si>
  <si>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</si>
  <si>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</si>
  <si>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</si>
  <si>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</si>
  <si>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</si>
  <si>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</si>
  <si>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</si>
  <si>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</si>
  <si>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</si>
  <si>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</si>
  <si>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</si>
  <si>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</si>
  <si>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</si>
  <si>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</si>
  <si>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</si>
  <si>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</si>
  <si>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</si>
  <si>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</si>
  <si>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</si>
  <si>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</si>
  <si>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</si>
  <si>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</si>
  <si>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</si>
  <si>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</si>
  <si>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</si>
  <si>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</si>
  <si>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</si>
  <si>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</si>
  <si>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</si>
  <si>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</si>
  <si>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</si>
  <si>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</si>
  <si>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</si>
  <si>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</si>
  <si>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</si>
  <si>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</si>
  <si>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</si>
  <si>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</si>
  <si>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</si>
  <si>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</si>
  <si>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</si>
  <si>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</si>
  <si>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</si>
  <si>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</si>
  <si>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</si>
  <si>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</si>
  <si>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</si>
  <si>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</si>
  <si>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</si>
  <si>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</si>
  <si>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</si>
  <si>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</si>
  <si>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</si>
  <si>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</si>
  <si>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</si>
  <si>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</si>
  <si>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</si>
  <si>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</si>
  <si>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</si>
  <si>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</si>
  <si>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</si>
  <si>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</si>
  <si>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</si>
  <si>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</si>
  <si>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</si>
  <si>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</si>
  <si>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</si>
  <si>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</si>
  <si>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</si>
  <si>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</si>
  <si>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</si>
  <si>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</si>
  <si>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</si>
  <si>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</si>
  <si>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</si>
  <si>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</si>
  <si>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</si>
  <si>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</si>
  <si>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</si>
  <si>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</si>
  <si>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</si>
  <si>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</si>
  <si>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</si>
  <si>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</si>
  <si>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</si>
  <si>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</si>
  <si>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</si>
  <si>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</si>
  <si>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</si>
  <si>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</si>
  <si>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</si>
  <si>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</si>
  <si>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</si>
  <si>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</si>
  <si>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</si>
  <si>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</si>
  <si>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</si>
  <si>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</si>
  <si>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</si>
  <si>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</si>
  <si>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</si>
  <si>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</si>
  <si>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</si>
  <si>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</si>
  <si>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</si>
  <si>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</si>
  <si>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</si>
  <si>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</si>
  <si>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</si>
  <si>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</si>
  <si>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</si>
  <si>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</si>
  <si>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</si>
  <si>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</si>
  <si>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</si>
  <si>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</si>
  <si>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</si>
  <si>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</si>
  <si>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</si>
  <si>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</si>
  <si>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</si>
  <si>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</si>
  <si>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</si>
  <si>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</si>
  <si>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</si>
  <si>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</si>
  <si>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</si>
  <si>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</si>
  <si>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</si>
  <si>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</si>
  <si>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</si>
  <si>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</si>
  <si>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</si>
  <si>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</si>
  <si>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</si>
  <si>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</si>
  <si>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</si>
  <si>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</si>
  <si>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</si>
  <si>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</si>
  <si>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</si>
  <si>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</si>
  <si>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</si>
  <si>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</si>
  <si>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</si>
  <si>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</si>
  <si>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</si>
  <si>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</si>
  <si>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</si>
  <si>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</si>
  <si>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</si>
  <si>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</si>
  <si>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</si>
  <si>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</si>
  <si>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</si>
  <si>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</si>
  <si>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</si>
  <si>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</si>
  <si>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</si>
  <si>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</si>
  <si>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</si>
  <si>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</si>
  <si>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</si>
  <si>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</si>
  <si>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</si>
  <si>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</si>
  <si>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</si>
  <si>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</si>
  <si>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</si>
  <si>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</si>
  <si>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</si>
  <si>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</si>
  <si>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</si>
  <si>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</si>
  <si>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</si>
  <si>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</si>
  <si>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</si>
  <si>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</si>
  <si>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</si>
  <si>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</si>
  <si>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</si>
  <si>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</si>
  <si>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</si>
  <si>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</si>
  <si>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</si>
  <si>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</si>
  <si>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</si>
  <si>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</si>
  <si>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</si>
  <si>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</si>
  <si>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</si>
  <si>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</si>
  <si>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</si>
  <si>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</si>
  <si>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</si>
  <si>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</si>
  <si>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</si>
  <si>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</si>
  <si>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</si>
  <si>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</si>
  <si>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</si>
  <si>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</si>
  <si>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</si>
  <si>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</si>
  <si>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</si>
  <si>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</si>
  <si>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</si>
  <si>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</si>
  <si>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</si>
  <si>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</si>
  <si>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</si>
  <si>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</si>
  <si>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</si>
  <si>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</si>
  <si>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</si>
  <si>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</si>
  <si>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</si>
  <si>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</si>
  <si>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</si>
  <si>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</si>
  <si>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</si>
  <si>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</si>
  <si>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</si>
  <si>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</si>
  <si>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</si>
  <si>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</si>
  <si>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</si>
  <si>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</si>
  <si>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</si>
  <si>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</si>
  <si>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</si>
  <si>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</si>
  <si>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</si>
  <si>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</si>
  <si>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</si>
  <si>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</si>
  <si>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</si>
  <si>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</si>
  <si>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</si>
  <si>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</si>
  <si>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</si>
  <si>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</si>
  <si>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</si>
  <si>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</si>
  <si>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</si>
  <si>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</si>
  <si>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</si>
  <si>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</si>
  <si>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</si>
  <si>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</si>
  <si>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</si>
  <si>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</si>
  <si>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</si>
  <si>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</si>
  <si>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</si>
  <si>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</si>
  <si>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</si>
  <si>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</si>
  <si>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</si>
  <si>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</si>
  <si>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</si>
  <si>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</si>
  <si>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</si>
  <si>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</si>
  <si>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</si>
  <si>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</si>
  <si>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</si>
  <si>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</si>
  <si>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</si>
  <si>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</si>
  <si>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</si>
  <si>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</si>
  <si>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</si>
  <si>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</si>
  <si>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</si>
  <si>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</si>
  <si>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</si>
  <si>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</si>
  <si>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</si>
  <si>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</si>
  <si>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</si>
  <si>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</si>
  <si>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</si>
  <si>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</si>
  <si>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</si>
  <si>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</si>
  <si>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</si>
  <si>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</si>
  <si>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</si>
  <si>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</si>
  <si>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</si>
  <si>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</si>
  <si>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</si>
  <si>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</si>
  <si>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</si>
  <si>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</si>
  <si>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</si>
  <si>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</si>
  <si>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</si>
  <si>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</si>
  <si>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</si>
  <si>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</si>
  <si>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</si>
  <si>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</si>
  <si>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</si>
  <si>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</si>
  <si>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</si>
  <si>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</si>
  <si>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</si>
  <si>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</si>
  <si>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</si>
  <si>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</si>
  <si>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</si>
  <si>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</si>
  <si>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</si>
  <si>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</si>
  <si>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</si>
  <si>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</si>
  <si>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</si>
  <si>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</si>
  <si>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</si>
  <si>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</si>
  <si>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</si>
  <si>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</si>
  <si>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</si>
  <si>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</si>
  <si>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</si>
  <si>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</si>
  <si>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</si>
  <si>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</si>
  <si>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</si>
  <si>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</si>
  <si>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</si>
  <si>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</si>
  <si>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</si>
  <si>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</si>
  <si>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</si>
  <si>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</si>
  <si>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</si>
  <si>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</si>
  <si>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</si>
  <si>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</si>
  <si>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</si>
  <si>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</si>
  <si>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</si>
  <si>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</si>
  <si>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</si>
  <si>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</si>
  <si>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</si>
  <si>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</si>
  <si>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</si>
  <si>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</si>
  <si>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</si>
  <si>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</si>
  <si>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</si>
  <si>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</si>
  <si>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</si>
  <si>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</si>
  <si>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</si>
  <si>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</si>
  <si>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</si>
  <si>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</si>
  <si>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</si>
  <si>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</si>
  <si>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</si>
  <si>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</si>
  <si>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</si>
  <si>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</si>
  <si>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</si>
  <si>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</si>
  <si>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</si>
  <si>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</si>
  <si>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</si>
  <si>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</si>
  <si>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</si>
  <si>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</si>
  <si>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</si>
  <si>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</si>
  <si>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</si>
  <si>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</si>
  <si>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</si>
  <si>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</si>
  <si>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</si>
  <si>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</si>
  <si>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</si>
  <si>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</si>
  <si>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</si>
  <si>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</si>
  <si>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</si>
  <si>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</si>
  <si>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</si>
  <si>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</si>
  <si>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</si>
  <si>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</si>
  <si>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</si>
  <si>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</si>
  <si>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</si>
  <si>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</si>
  <si>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</si>
  <si>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</si>
  <si>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</si>
  <si>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</si>
  <si>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</si>
  <si>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</si>
  <si>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</si>
  <si>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</si>
  <si>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</si>
  <si>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</si>
  <si>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</si>
  <si>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</si>
  <si>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</si>
  <si>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</si>
  <si>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</si>
  <si>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</si>
  <si>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</si>
  <si>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</si>
  <si>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</si>
  <si>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</si>
  <si>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</si>
  <si>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</si>
  <si>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</si>
  <si>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</si>
  <si>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</si>
  <si>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</si>
  <si>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</si>
  <si>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</si>
  <si>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</si>
  <si>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</si>
  <si>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</si>
  <si>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</si>
  <si>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</si>
  <si>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</si>
  <si>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</si>
  <si>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</si>
  <si>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</si>
  <si>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</si>
  <si>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</si>
  <si>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</si>
  <si>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</si>
  <si>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</si>
  <si>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</si>
  <si>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</si>
  <si>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</si>
  <si>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</si>
  <si>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</si>
  <si>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</si>
  <si>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</si>
  <si>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</si>
  <si>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</si>
  <si>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</si>
  <si>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</si>
  <si>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</si>
  <si>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</si>
  <si>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</si>
  <si>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</si>
  <si>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</si>
  <si>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</si>
  <si>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</si>
  <si>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</si>
  <si>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</si>
  <si>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</si>
  <si>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</si>
  <si>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</si>
  <si>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</si>
  <si>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</si>
  <si>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</si>
  <si>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</si>
  <si>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</si>
  <si>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</si>
  <si>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</si>
  <si>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</si>
  <si>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</si>
  <si>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</si>
  <si>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</si>
  <si>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</si>
  <si>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</si>
  <si>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</si>
  <si>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</si>
  <si>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</si>
  <si>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</si>
  <si>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</si>
  <si>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</si>
  <si>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</si>
  <si>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</si>
  <si>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</si>
  <si>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</si>
  <si>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</si>
  <si>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</si>
  <si>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</si>
  <si>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</si>
  <si>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</si>
  <si>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</si>
  <si>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</si>
  <si>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</si>
  <si>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</si>
  <si>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</si>
  <si>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</si>
  <si>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</si>
  <si>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</si>
  <si>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</si>
  <si>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</si>
  <si>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</si>
  <si>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</si>
  <si>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</si>
  <si>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</si>
  <si>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</si>
  <si>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</si>
  <si>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</si>
  <si>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</si>
  <si>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</si>
  <si>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</si>
  <si>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</si>
  <si>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</si>
  <si>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</si>
  <si>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</si>
  <si>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</si>
  <si>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</si>
  <si>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</si>
  <si>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</si>
  <si>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</si>
  <si>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</si>
  <si>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</si>
  <si>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</si>
  <si>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</si>
  <si>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</si>
  <si>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</si>
  <si>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</si>
  <si>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</si>
  <si>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</si>
  <si>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</si>
  <si>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</si>
  <si>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</si>
  <si>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</si>
  <si>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</si>
  <si>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</si>
  <si>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</si>
  <si>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</si>
  <si>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</si>
  <si>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</si>
  <si>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</si>
  <si>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</si>
  <si>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</si>
  <si>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</si>
  <si>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</si>
  <si>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</si>
  <si>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</si>
  <si>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</si>
  <si>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</si>
  <si>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</si>
  <si>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</si>
  <si>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</si>
  <si>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</si>
  <si>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</si>
  <si>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</si>
  <si>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</si>
  <si>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</si>
  <si>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</si>
  <si>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</si>
  <si>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</si>
  <si>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</si>
  <si>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</si>
  <si>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</si>
  <si>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</si>
  <si>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</si>
  <si>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</si>
  <si>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</si>
  <si>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</si>
  <si>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</si>
  <si>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</si>
  <si>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</si>
  <si>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</si>
  <si>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</si>
  <si>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</si>
  <si>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</si>
  <si>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</si>
  <si>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</si>
  <si>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</si>
  <si>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</si>
  <si>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</si>
  <si>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</si>
  <si>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</si>
  <si>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</si>
  <si>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</si>
  <si>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</si>
  <si>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</si>
  <si>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</si>
  <si>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</si>
  <si>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</si>
  <si>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</si>
  <si>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</si>
  <si>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</si>
  <si>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</si>
  <si>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</si>
  <si>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</si>
  <si>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</si>
  <si>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</si>
  <si>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</si>
  <si>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</si>
  <si>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</si>
  <si>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</si>
  <si>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</si>
  <si>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</si>
  <si>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</si>
  <si>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</si>
  <si>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</si>
  <si>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</si>
  <si>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</si>
  <si>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</si>
  <si>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</si>
  <si>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</si>
  <si>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</si>
  <si>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</si>
  <si>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</si>
  <si>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</si>
  <si>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</si>
  <si>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</si>
  <si>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</si>
  <si>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</si>
  <si>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</si>
  <si>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</si>
  <si>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</si>
  <si>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</si>
  <si>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</si>
  <si>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</si>
  <si>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</si>
  <si>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</si>
  <si>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</si>
  <si>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</si>
  <si>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</si>
  <si>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</si>
  <si>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</si>
  <si>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</si>
  <si>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</si>
  <si>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</si>
  <si>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</si>
  <si>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</si>
  <si>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</si>
  <si>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</si>
  <si>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</si>
  <si>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</si>
  <si>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</si>
  <si>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</si>
  <si>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</si>
  <si>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</si>
  <si>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</si>
  <si>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</si>
  <si>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</si>
  <si>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</si>
  <si>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</si>
  <si>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</si>
  <si>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</si>
  <si>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</si>
  <si>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</si>
  <si>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</si>
  <si>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</si>
  <si>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</si>
  <si>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</si>
  <si>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</si>
  <si>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</si>
  <si>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</si>
  <si>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</si>
  <si>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</si>
  <si>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</si>
  <si>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</si>
  <si>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</si>
  <si>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</si>
  <si>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</si>
  <si>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</si>
  <si>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</si>
  <si>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</si>
  <si>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</si>
  <si>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</si>
  <si>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</si>
  <si>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</si>
  <si>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</si>
  <si>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</si>
  <si>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</si>
  <si>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</si>
  <si>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</si>
  <si>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</si>
  <si>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</si>
  <si>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</si>
  <si>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</si>
  <si>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</si>
  <si>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</si>
  <si>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</si>
  <si>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</si>
  <si>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</si>
  <si>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</si>
  <si>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</si>
  <si>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</si>
  <si>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</si>
  <si>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</si>
  <si>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</si>
  <si>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</si>
  <si>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</si>
  <si>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</si>
  <si>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</si>
  <si>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</si>
  <si>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</si>
  <si>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</si>
  <si>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</si>
  <si>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</si>
  <si>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</si>
  <si>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</si>
  <si>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</si>
  <si>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</si>
  <si>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</si>
  <si>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</si>
  <si>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</si>
  <si>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</si>
  <si>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</si>
  <si>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</si>
  <si>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</si>
  <si>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</si>
  <si>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</si>
  <si>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</si>
  <si>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</si>
  <si>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</si>
  <si>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</si>
  <si>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</si>
  <si>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</si>
  <si>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</si>
  <si>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</si>
  <si>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</si>
  <si>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</si>
  <si>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</si>
  <si>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</si>
  <si>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</si>
  <si>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</si>
  <si>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</si>
  <si>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</si>
  <si>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</si>
  <si>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</si>
  <si>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</si>
  <si>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</si>
  <si>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</si>
  <si>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</si>
  <si>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</si>
  <si>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</si>
  <si>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</si>
  <si>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</si>
  <si>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</si>
  <si>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</si>
  <si>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</si>
  <si>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</si>
  <si>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</si>
  <si>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</si>
  <si>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</si>
  <si>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</si>
  <si>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</si>
  <si>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</si>
  <si>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</si>
  <si>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</si>
  <si>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</si>
  <si>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</si>
  <si>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</si>
  <si>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</si>
  <si>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</si>
  <si>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</si>
  <si>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</si>
  <si>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</si>
  <si>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</si>
  <si>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</si>
  <si>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</si>
  <si>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</si>
  <si>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</si>
  <si>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</si>
  <si>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</si>
  <si>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</si>
  <si>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</si>
  <si>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</si>
  <si>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</si>
  <si>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</si>
  <si>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</si>
  <si>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</si>
  <si>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</si>
  <si>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</si>
  <si>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</si>
  <si>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</si>
  <si>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</si>
  <si>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</si>
  <si>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</si>
  <si>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</si>
  <si>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</si>
  <si>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</si>
  <si>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</si>
  <si>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</si>
  <si>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</si>
  <si>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</si>
  <si>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</si>
  <si>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</si>
  <si>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</si>
  <si>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</si>
  <si>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</si>
  <si>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</si>
  <si>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</si>
  <si>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</si>
  <si>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</si>
  <si>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</si>
  <si>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</si>
  <si>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</si>
  <si>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</si>
  <si>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</si>
  <si>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</si>
  <si>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</si>
  <si>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</si>
  <si>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</si>
  <si>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</si>
  <si>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</si>
  <si>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</si>
  <si>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</si>
  <si>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</si>
  <si>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</si>
  <si>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</si>
  <si>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</si>
  <si>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</si>
  <si>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</si>
  <si>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</si>
  <si>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</si>
  <si>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</si>
  <si>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</si>
  <si>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</si>
  <si>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</si>
  <si>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</si>
  <si>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</si>
  <si>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</si>
  <si>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</si>
  <si>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</si>
  <si>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</si>
  <si>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</si>
  <si>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</si>
  <si>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</si>
  <si>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</si>
  <si>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</si>
  <si>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</si>
  <si>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</si>
  <si>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</si>
  <si>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</si>
  <si>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</si>
  <si>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</si>
  <si>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</si>
  <si>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</si>
  <si>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</si>
  <si>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</si>
  <si>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</si>
  <si>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</si>
  <si>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</si>
  <si>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</si>
  <si>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</si>
  <si>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</si>
  <si>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</si>
  <si>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</si>
  <si>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</si>
  <si>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</si>
  <si>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</si>
  <si>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</si>
  <si>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</si>
  <si>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</si>
  <si>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</si>
  <si>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</si>
  <si>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</si>
  <si>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</si>
  <si>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</si>
  <si>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</si>
  <si>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</si>
  <si>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</si>
  <si>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</si>
  <si>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</si>
  <si>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</si>
  <si>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</si>
  <si>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</si>
  <si>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</si>
  <si>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</si>
  <si>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</si>
  <si>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</si>
  <si>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</si>
  <si>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</si>
  <si>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</si>
  <si>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</si>
  <si>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</si>
  <si>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</si>
  <si>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</si>
  <si>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</si>
  <si>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</si>
  <si>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</si>
  <si>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</si>
  <si>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</si>
  <si>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</si>
  <si>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</si>
  <si>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</si>
  <si>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</si>
  <si>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</si>
  <si>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</si>
  <si>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</si>
  <si>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</si>
  <si>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</si>
  <si>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</si>
  <si>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</si>
  <si>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</si>
  <si>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</si>
  <si>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</si>
  <si>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</si>
  <si>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</si>
  <si>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</si>
  <si>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</si>
  <si>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</si>
  <si>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</si>
  <si>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</si>
  <si>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</si>
  <si>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</si>
  <si>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</si>
  <si>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</si>
  <si>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</si>
  <si>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</si>
  <si>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</si>
  <si>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</si>
  <si>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</si>
  <si>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</si>
  <si>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</si>
  <si>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</si>
  <si>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</si>
  <si>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</si>
  <si>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</si>
  <si>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</si>
  <si>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</si>
  <si>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</si>
  <si>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</si>
  <si>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</si>
  <si>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</si>
  <si>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</si>
  <si>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</si>
  <si>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</si>
  <si>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</si>
  <si>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</si>
  <si>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</si>
  <si>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</si>
  <si>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</si>
  <si>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</si>
  <si>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</si>
  <si>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</si>
  <si>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</si>
  <si>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</si>
  <si>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</si>
  <si>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</si>
  <si>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</si>
  <si>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</si>
  <si>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</si>
  <si>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</si>
  <si>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</si>
  <si>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</si>
  <si>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</si>
  <si>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</si>
  <si>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</si>
  <si>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</si>
  <si>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</si>
  <si>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</si>
  <si>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</si>
  <si>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</si>
  <si>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</si>
  <si>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</si>
  <si>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</si>
  <si>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</si>
  <si>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</si>
  <si>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</si>
  <si>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</si>
  <si>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</si>
  <si>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</si>
  <si>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</si>
  <si>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</si>
  <si>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</si>
  <si>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</si>
  <si>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</si>
  <si>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</si>
  <si>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</si>
  <si>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</si>
  <si>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</si>
  <si>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</si>
  <si>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</si>
  <si>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</si>
  <si>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</si>
  <si>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</si>
  <si>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</si>
  <si>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</si>
  <si>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</si>
  <si>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</si>
  <si>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</si>
  <si>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</si>
  <si>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</si>
  <si>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</si>
  <si>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</si>
  <si>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</si>
  <si>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</si>
  <si>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</si>
  <si>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</si>
  <si>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</si>
  <si>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</si>
  <si>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</si>
  <si>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</si>
  <si>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</si>
  <si>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</si>
  <si>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</si>
  <si>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</si>
  <si>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</si>
  <si>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</si>
  <si>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</si>
  <si>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</si>
  <si>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</si>
  <si>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</si>
  <si>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</si>
  <si>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</si>
  <si>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</si>
  <si>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</si>
  <si>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</si>
  <si>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</si>
  <si>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</si>
  <si>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</si>
  <si>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</si>
  <si>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</si>
  <si>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</si>
  <si>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</si>
  <si>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</si>
  <si>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</si>
  <si>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</si>
  <si>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</si>
  <si>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</si>
  <si>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</si>
  <si>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</si>
  <si>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</si>
  <si>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</si>
  <si>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</si>
  <si>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</si>
  <si>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</si>
  <si>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</si>
  <si>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</si>
  <si>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</si>
  <si>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</si>
  <si>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</si>
  <si>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</si>
  <si>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</si>
  <si>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</si>
  <si>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</si>
  <si>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</si>
  <si>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</si>
  <si>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</si>
  <si>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</si>
  <si>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</si>
  <si>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</si>
  <si>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</si>
  <si>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</si>
  <si>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</si>
  <si>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</si>
  <si>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</si>
  <si>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</si>
  <si>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</si>
  <si>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</si>
  <si>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</si>
  <si>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</si>
  <si>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</si>
  <si>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</si>
  <si>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</si>
  <si>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</si>
  <si>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</si>
  <si>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</si>
  <si>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</si>
  <si>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</si>
  <si>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</si>
  <si>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</si>
  <si>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</si>
  <si>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</si>
  <si>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</si>
  <si>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</si>
  <si>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</si>
  <si>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</si>
  <si>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</si>
  <si>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</si>
  <si>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</si>
  <si>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</si>
  <si>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</si>
  <si>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</si>
  <si>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</si>
  <si>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</si>
  <si>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</si>
  <si>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</si>
  <si>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</si>
  <si>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</si>
  <si>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</si>
  <si>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</si>
  <si>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</si>
  <si>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</si>
  <si>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</si>
  <si>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</si>
  <si>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</si>
  <si>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</si>
  <si>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</si>
  <si>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</si>
  <si>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</si>
  <si>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</si>
  <si>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</si>
  <si>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</si>
  <si>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</si>
  <si>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</si>
  <si>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</si>
  <si>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</si>
  <si>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</si>
  <si>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</si>
  <si>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</si>
  <si>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</si>
  <si>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</si>
  <si>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</si>
  <si>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</si>
  <si>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</si>
  <si>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</si>
  <si>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</si>
  <si>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</si>
  <si>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</si>
  <si>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</si>
  <si>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</si>
  <si>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</si>
  <si>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</si>
  <si>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</si>
  <si>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</si>
  <si>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</si>
  <si>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</si>
  <si>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</si>
  <si>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</si>
  <si>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</si>
  <si>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</si>
  <si>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</si>
  <si>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</si>
  <si>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</si>
  <si>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</si>
  <si>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</si>
  <si>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</si>
  <si>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</si>
  <si>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</si>
  <si>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</si>
  <si>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</si>
  <si>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</si>
  <si>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</si>
  <si>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</si>
  <si>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</si>
  <si>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</si>
  <si>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</si>
  <si>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</si>
  <si>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</si>
  <si>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</si>
  <si>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</si>
  <si>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</si>
  <si>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</si>
  <si>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</si>
  <si>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</si>
  <si>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</si>
  <si>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</si>
  <si>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</si>
  <si>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</si>
  <si>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</si>
  <si>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</si>
  <si>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</si>
  <si>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</si>
  <si>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</si>
  <si>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</si>
  <si>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</si>
  <si>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</si>
  <si>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</si>
  <si>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</si>
  <si>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</si>
  <si>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</si>
  <si>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</si>
  <si>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</si>
  <si>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</si>
  <si>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</si>
  <si>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</si>
  <si>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</si>
  <si>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</si>
  <si>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</si>
  <si>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</si>
  <si>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</si>
  <si>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</si>
  <si>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</si>
  <si>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</si>
  <si>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</si>
  <si>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</si>
  <si>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</si>
  <si>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</si>
  <si>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</si>
  <si>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</si>
  <si>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</si>
  <si>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</si>
  <si>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</si>
  <si>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</si>
  <si>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</si>
  <si>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</si>
  <si>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</si>
  <si>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</si>
  <si>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</si>
  <si>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</si>
  <si>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</si>
  <si>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</si>
  <si>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</si>
  <si>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</si>
  <si>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</si>
  <si>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</si>
  <si>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</si>
  <si>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</si>
  <si>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</si>
  <si>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</si>
  <si>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</si>
  <si>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</si>
  <si>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</si>
  <si>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</si>
  <si>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</si>
  <si>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</si>
  <si>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</si>
  <si>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</si>
  <si>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</si>
  <si>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</si>
  <si>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</si>
  <si>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</si>
  <si>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</si>
  <si>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</si>
  <si>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</si>
  <si>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</si>
  <si>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</si>
  <si>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</si>
  <si>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</si>
  <si>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</si>
  <si>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</si>
  <si>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</si>
  <si>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</si>
  <si>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</si>
  <si>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</si>
  <si>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</si>
  <si>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</si>
  <si>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</si>
  <si>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</si>
  <si>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</si>
  <si>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</si>
  <si>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</si>
  <si>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</si>
  <si>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</si>
  <si>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</si>
  <si>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</si>
  <si>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</si>
  <si>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</si>
  <si>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</si>
  <si>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</si>
  <si>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</si>
  <si>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</si>
  <si>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</si>
  <si>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</si>
  <si>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</si>
  <si>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</si>
  <si>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</si>
  <si>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</si>
  <si>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</si>
  <si>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</si>
  <si>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</si>
  <si>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</si>
  <si>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</si>
  <si>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</si>
  <si>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</si>
  <si>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</si>
  <si>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</si>
  <si>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</si>
  <si>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</si>
  <si>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</si>
  <si>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</si>
  <si>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</si>
  <si>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</si>
  <si>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</si>
  <si>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</si>
  <si>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</si>
  <si>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</si>
  <si>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</si>
  <si>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</si>
  <si>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</si>
  <si>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</si>
  <si>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</si>
  <si>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</si>
  <si>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</si>
  <si>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</si>
  <si>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</si>
  <si>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</si>
  <si>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</si>
  <si>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</si>
  <si>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</si>
  <si>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</si>
  <si>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</si>
  <si>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</si>
  <si>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</si>
  <si>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</si>
  <si>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</si>
  <si>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</si>
  <si>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</si>
  <si>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</si>
  <si>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</si>
  <si>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</si>
  <si>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</si>
  <si>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</si>
  <si>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</si>
  <si>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</si>
  <si>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</si>
  <si>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</si>
  <si>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</si>
  <si>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</si>
  <si>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</si>
  <si>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</si>
  <si>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</si>
  <si>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</si>
  <si>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</si>
  <si>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</si>
  <si>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</si>
  <si>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</si>
  <si>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</si>
  <si>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</si>
  <si>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</si>
  <si>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</si>
  <si>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</si>
  <si>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</si>
  <si>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</si>
  <si>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</si>
  <si>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</si>
  <si>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</si>
  <si>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</si>
  <si>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</si>
  <si>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</si>
  <si>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</si>
  <si>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</si>
  <si>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</si>
  <si>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</si>
  <si>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</si>
  <si>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</si>
  <si>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</si>
  <si>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</si>
  <si>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</si>
  <si>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</si>
  <si>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</si>
  <si>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</si>
  <si>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</si>
  <si>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</si>
  <si>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</si>
  <si>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</si>
  <si>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</si>
  <si>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</si>
  <si>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</si>
  <si>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</si>
  <si>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</si>
  <si>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</si>
  <si>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</si>
  <si>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</si>
  <si>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</si>
  <si>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</si>
  <si>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</si>
  <si>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</si>
  <si>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</si>
  <si>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</si>
  <si>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</si>
  <si>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</si>
  <si>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</si>
  <si>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</si>
  <si>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</si>
  <si>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</si>
  <si>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</si>
  <si>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</si>
  <si>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</si>
  <si>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</si>
  <si>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</si>
  <si>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</si>
  <si>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</si>
  <si>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</si>
  <si>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</si>
  <si>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</si>
  <si>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</si>
  <si>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</si>
  <si>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</si>
  <si>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</si>
  <si>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</si>
  <si>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</si>
  <si>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</si>
  <si>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</si>
  <si>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</si>
  <si>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</si>
  <si>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</si>
  <si>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</si>
  <si>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</si>
  <si>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</si>
  <si>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</si>
  <si>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</si>
  <si>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</si>
  <si>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</si>
  <si>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</si>
  <si>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</si>
  <si>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</si>
  <si>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</si>
  <si>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</si>
  <si>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</si>
  <si>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</si>
  <si>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</si>
  <si>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</si>
  <si>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</si>
  <si>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</si>
  <si>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</si>
  <si>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</si>
  <si>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</si>
  <si>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</si>
  <si>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</si>
  <si>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</si>
  <si>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</si>
  <si>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</si>
  <si>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</si>
  <si>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</si>
  <si>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</si>
  <si>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</si>
  <si>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</si>
  <si>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</si>
  <si>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</si>
  <si>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</si>
  <si>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</si>
  <si>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</si>
  <si>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</si>
  <si>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</si>
  <si>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</si>
  <si>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</si>
  <si>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</si>
  <si>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</si>
  <si>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</si>
  <si>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</si>
  <si>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</si>
  <si>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</si>
  <si>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</si>
  <si>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</si>
  <si>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</si>
  <si>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</si>
  <si>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</si>
  <si>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</si>
  <si>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</si>
  <si>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</si>
  <si>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</si>
  <si>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</si>
  <si>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</si>
  <si>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</si>
  <si>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</si>
  <si>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</si>
  <si>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</si>
  <si>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</si>
  <si>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</si>
  <si>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</si>
  <si>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</si>
  <si>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</si>
  <si>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</si>
  <si>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</si>
  <si>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</si>
  <si>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</si>
  <si>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</si>
  <si>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</si>
  <si>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</si>
  <si>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</si>
  <si>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</si>
  <si>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</si>
  <si>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</si>
  <si>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</si>
  <si>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</si>
  <si>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</si>
  <si>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</si>
  <si>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</si>
  <si>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</si>
  <si>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</si>
  <si>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</si>
  <si>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</si>
  <si>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</si>
  <si>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</si>
  <si>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</si>
  <si>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</si>
  <si>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</si>
  <si>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</si>
  <si>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</si>
  <si>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</si>
  <si>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</si>
  <si>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</si>
  <si>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</si>
  <si>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</si>
  <si>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</si>
  <si>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</si>
  <si>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</si>
  <si>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</si>
  <si>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</si>
  <si>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</si>
  <si>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</si>
  <si>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</si>
  <si>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</si>
  <si>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</si>
  <si>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</si>
  <si>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</si>
  <si>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</si>
  <si>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</si>
  <si>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</si>
  <si>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</si>
  <si>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</si>
  <si>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</si>
  <si>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</si>
  <si>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</si>
  <si>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</si>
  <si>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</si>
  <si>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</si>
  <si>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</si>
  <si>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</si>
  <si>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</si>
  <si>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</si>
  <si>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</si>
  <si>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</si>
  <si>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</si>
  <si>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</si>
  <si>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</si>
  <si>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</si>
  <si>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</si>
  <si>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</si>
  <si>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</si>
  <si>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</si>
  <si>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</si>
  <si>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</si>
  <si>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</si>
  <si>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</si>
  <si>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</si>
  <si>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</si>
  <si>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</si>
  <si>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</si>
  <si>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</si>
  <si>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</si>
  <si>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</si>
  <si>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</si>
  <si>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</si>
  <si>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</si>
  <si>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</si>
  <si>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</si>
  <si>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</si>
  <si>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</si>
  <si>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</si>
  <si>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</si>
  <si>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</si>
  <si>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</si>
  <si>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</si>
  <si>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</si>
  <si>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</si>
  <si>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</si>
  <si>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</si>
  <si>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</si>
  <si>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</si>
  <si>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</si>
  <si>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</si>
  <si>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</si>
  <si>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</si>
  <si>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</si>
  <si>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</si>
  <si>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</si>
  <si>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</si>
  <si>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</si>
  <si>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</si>
  <si>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</si>
  <si>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</si>
  <si>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</si>
  <si>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</si>
  <si>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</si>
  <si>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</si>
  <si>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</si>
  <si>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</si>
  <si>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</si>
  <si>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</si>
  <si>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</si>
  <si>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</si>
  <si>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</si>
  <si>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</si>
  <si>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</si>
  <si>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</si>
  <si>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</si>
  <si>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</si>
  <si>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</si>
  <si>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</si>
  <si>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</si>
  <si>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</si>
  <si>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</si>
  <si>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</si>
  <si>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</si>
  <si>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</si>
  <si>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</si>
  <si>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</si>
  <si>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</si>
  <si>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</si>
  <si>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</si>
  <si>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</si>
  <si>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</si>
  <si>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</si>
  <si>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</si>
  <si>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</si>
  <si>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</si>
  <si>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</si>
  <si>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</si>
  <si>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</si>
  <si>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</si>
  <si>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</si>
  <si>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</si>
  <si>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</si>
  <si>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</si>
  <si>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</si>
  <si>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</si>
  <si>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</si>
  <si>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</si>
  <si>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</si>
  <si>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</si>
  <si>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</si>
  <si>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</si>
  <si>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</si>
  <si>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</si>
  <si>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</si>
  <si>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</si>
  <si>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</si>
  <si>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</si>
  <si>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</si>
  <si>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</si>
  <si>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</si>
  <si>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</si>
  <si>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</si>
  <si>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</si>
  <si>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</si>
  <si>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</si>
  <si>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</si>
  <si>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</si>
  <si>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</si>
  <si>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</si>
  <si>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</si>
  <si>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</si>
  <si>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</si>
  <si>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</si>
  <si>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</si>
  <si>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</si>
  <si>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</si>
  <si>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</si>
  <si>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</si>
  <si>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</si>
  <si>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</si>
  <si>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</si>
  <si>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</si>
  <si>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</si>
  <si>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</si>
  <si>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</si>
  <si>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</si>
  <si>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</si>
  <si>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</si>
  <si>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</si>
  <si>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</si>
  <si>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</si>
  <si>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</si>
  <si>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</si>
  <si>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</si>
  <si>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</si>
  <si>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</si>
  <si>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</si>
  <si>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</si>
  <si>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</si>
  <si>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</si>
  <si>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</si>
  <si>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</si>
  <si>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</si>
  <si>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</si>
  <si>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</si>
  <si>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</si>
  <si>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</si>
  <si>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</si>
  <si>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</si>
  <si>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</si>
  <si>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</si>
  <si>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</si>
  <si>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</si>
  <si>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</si>
  <si>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</si>
  <si>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</si>
  <si>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</si>
  <si>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</si>
  <si>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</si>
  <si>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</si>
  <si>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</si>
  <si>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</si>
  <si>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</si>
  <si>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</si>
  <si>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</si>
  <si>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</si>
  <si>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</si>
  <si>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</si>
  <si>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</si>
  <si>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</si>
  <si>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</si>
  <si>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</si>
  <si>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</si>
  <si>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</si>
  <si>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</si>
  <si>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</si>
  <si>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</si>
  <si>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</si>
  <si>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</si>
  <si>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</si>
  <si>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</si>
  <si>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</si>
  <si>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</si>
  <si>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</si>
  <si>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</si>
  <si>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</si>
  <si>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</si>
  <si>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</si>
  <si>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</si>
  <si>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</si>
  <si>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</si>
  <si>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</si>
  <si>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</si>
  <si>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</si>
  <si>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</si>
  <si>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</si>
  <si>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</si>
  <si>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</si>
  <si>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</si>
  <si>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</si>
  <si>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</si>
  <si>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</si>
  <si>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</si>
  <si>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</si>
  <si>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</si>
  <si>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</si>
  <si>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</si>
  <si>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</si>
  <si>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</si>
  <si>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</si>
  <si>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</si>
  <si>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</si>
  <si>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</si>
  <si>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</si>
  <si>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</si>
  <si>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</si>
  <si>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</si>
  <si>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</si>
  <si>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</si>
  <si>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</si>
  <si>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</si>
  <si>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</si>
  <si>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</si>
  <si>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</si>
  <si>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</si>
  <si>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</si>
  <si>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</si>
  <si>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</si>
  <si>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</si>
  <si>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</si>
  <si>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</si>
  <si>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</si>
  <si>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</si>
  <si>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</si>
  <si>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</si>
  <si>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</si>
  <si>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</si>
  <si>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</si>
  <si>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</si>
  <si>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</si>
  <si>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</si>
  <si>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</si>
  <si>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</si>
  <si>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</si>
  <si>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</si>
  <si>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</si>
  <si>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</si>
  <si>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</si>
  <si>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</si>
  <si>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</si>
  <si>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</si>
  <si>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</si>
  <si>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</si>
  <si>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</si>
  <si>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</si>
  <si>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</si>
  <si>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</si>
  <si>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</si>
  <si>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</si>
  <si>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</si>
  <si>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</si>
  <si>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</si>
  <si>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</si>
  <si>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</si>
  <si>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</si>
  <si>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</si>
  <si>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</si>
  <si>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</si>
  <si>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</si>
  <si>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</si>
  <si>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</si>
  <si>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</si>
  <si>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</si>
  <si>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</si>
  <si>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</si>
  <si>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</si>
  <si>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</si>
  <si>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</si>
  <si>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</si>
  <si>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</si>
  <si>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</si>
  <si>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</si>
  <si>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</si>
  <si>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</si>
  <si>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</si>
  <si>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</si>
  <si>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</si>
  <si>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</si>
  <si>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</si>
  <si>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</si>
  <si>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</si>
  <si>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</si>
  <si>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</si>
  <si>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</si>
  <si>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</si>
  <si>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</si>
  <si>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</si>
  <si>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</si>
  <si>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</si>
  <si>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</si>
  <si>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</si>
  <si>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</si>
  <si>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</si>
  <si>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</si>
  <si>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</si>
  <si>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</si>
  <si>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</si>
  <si>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</si>
  <si>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</si>
  <si>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</si>
  <si>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</si>
  <si>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</si>
  <si>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</si>
  <si>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</si>
  <si>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</si>
  <si>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</si>
  <si>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</si>
  <si>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</si>
  <si>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</si>
  <si>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</si>
  <si>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</si>
  <si>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</si>
  <si>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</si>
  <si>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</si>
  <si>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</si>
  <si>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</si>
  <si>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</si>
  <si>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</si>
  <si>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</si>
  <si>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</si>
  <si>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</si>
  <si>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</si>
  <si>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</si>
  <si>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</si>
  <si>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</si>
  <si>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</si>
  <si>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</si>
  <si>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</si>
  <si>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</si>
  <si>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</si>
  <si>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</si>
  <si>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</si>
  <si>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</si>
  <si>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</si>
  <si>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</si>
  <si>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</si>
  <si>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</si>
  <si>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</si>
  <si>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</si>
  <si>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</si>
  <si>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</si>
  <si>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</si>
  <si>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</si>
  <si>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</si>
  <si>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</si>
  <si>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</si>
  <si>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</si>
  <si>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</si>
  <si>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</si>
  <si>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</si>
  <si>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</si>
  <si>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</si>
  <si>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</si>
  <si>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</si>
  <si>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</si>
  <si>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</si>
  <si>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</si>
  <si>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</si>
  <si>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</si>
  <si>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</si>
  <si>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</si>
  <si>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</si>
  <si>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</si>
  <si>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</si>
  <si>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</si>
  <si>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</si>
  <si>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</si>
  <si>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</si>
  <si>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</si>
  <si>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</si>
  <si>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</si>
  <si>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</si>
  <si>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</si>
  <si>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</si>
  <si>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</si>
  <si>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</si>
  <si>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</si>
  <si>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</si>
  <si>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</si>
  <si>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</si>
  <si>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</si>
  <si>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</si>
  <si>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</si>
  <si>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</si>
  <si>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</si>
  <si>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</si>
  <si>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</si>
  <si>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</si>
  <si>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</si>
  <si>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</si>
  <si>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</si>
  <si>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</si>
  <si>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</si>
  <si>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</si>
  <si>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</si>
  <si>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</si>
  <si>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</si>
  <si>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</si>
  <si>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</si>
  <si>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</si>
  <si>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</si>
  <si>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</si>
  <si>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</si>
  <si>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</si>
  <si>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</si>
  <si>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</si>
  <si>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</si>
  <si>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</si>
  <si>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</si>
  <si>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</si>
  <si>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</si>
  <si>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</si>
  <si>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</si>
  <si>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</si>
  <si>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</si>
  <si>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</si>
  <si>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</si>
  <si>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</si>
  <si>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</si>
  <si>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</si>
  <si>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</si>
  <si>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</si>
  <si>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</si>
  <si>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</si>
  <si>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</si>
  <si>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</si>
  <si>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</si>
  <si>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</si>
  <si>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</si>
  <si>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</si>
  <si>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</si>
  <si>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</si>
  <si>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</si>
  <si>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</si>
  <si>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</si>
  <si>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</si>
  <si>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</si>
  <si>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</si>
  <si>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</si>
  <si>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</si>
  <si>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</si>
  <si>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</si>
  <si>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</si>
  <si>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</si>
  <si>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</si>
  <si>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</si>
  <si>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</si>
  <si>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</si>
  <si>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</si>
  <si>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</si>
  <si>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</si>
  <si>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</si>
  <si>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</si>
  <si>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</si>
  <si>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</si>
  <si>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</si>
  <si>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</si>
  <si>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</si>
  <si>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</si>
  <si>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</si>
  <si>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</si>
  <si>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</si>
  <si>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</si>
  <si>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</si>
  <si>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</si>
  <si>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</si>
  <si>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</si>
  <si>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</si>
  <si>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</si>
  <si>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</si>
  <si>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</si>
  <si>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</si>
  <si>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</si>
  <si>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</si>
  <si>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</si>
  <si>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</si>
  <si>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</si>
  <si>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</si>
  <si>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</si>
  <si>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</si>
  <si>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</si>
  <si>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</si>
  <si>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</si>
  <si>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</si>
  <si>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</si>
  <si>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</si>
  <si>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</si>
  <si>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</si>
  <si>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</si>
  <si>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</si>
  <si>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</si>
  <si>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</si>
  <si>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</si>
  <si>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</si>
  <si>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</si>
  <si>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</si>
  <si>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</si>
  <si>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</si>
  <si>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</si>
  <si>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</si>
  <si>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</si>
  <si>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</si>
  <si>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</si>
  <si>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</si>
  <si>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</si>
  <si>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</si>
  <si>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</si>
  <si>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</si>
  <si>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</si>
  <si>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</si>
  <si>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</si>
  <si>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</si>
  <si>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</si>
  <si>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</si>
  <si>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</si>
  <si>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</si>
  <si>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</si>
  <si>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</si>
  <si>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</si>
  <si>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</si>
  <si>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</si>
  <si>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</si>
  <si>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</si>
  <si>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</si>
  <si>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</si>
  <si>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</si>
  <si>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</si>
  <si>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</si>
  <si>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</si>
  <si>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</si>
  <si>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</si>
  <si>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</si>
  <si>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</si>
  <si>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</si>
  <si>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</si>
  <si>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</si>
  <si>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</si>
  <si>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</si>
  <si>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</si>
  <si>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</si>
  <si>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</si>
  <si>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</si>
  <si>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</si>
  <si>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</si>
  <si>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</si>
  <si>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</si>
  <si>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</si>
  <si>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</si>
  <si>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</si>
  <si>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</si>
  <si>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</si>
  <si>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</si>
  <si>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</si>
  <si>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</si>
  <si>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</si>
  <si>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</si>
  <si>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</si>
  <si>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</si>
  <si>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</si>
  <si>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</si>
  <si>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</si>
  <si>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</si>
  <si>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</si>
  <si>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</si>
  <si>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</si>
  <si>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</si>
  <si>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</si>
  <si>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</si>
  <si>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</si>
  <si>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</si>
  <si>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</si>
  <si>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</si>
  <si>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</si>
  <si>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</si>
  <si>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</si>
  <si>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</si>
  <si>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</si>
  <si>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</si>
  <si>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</si>
  <si>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</si>
  <si>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</si>
  <si>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</si>
  <si>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</si>
  <si>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</si>
  <si>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</si>
  <si>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</si>
  <si>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</si>
  <si>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</si>
  <si>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</si>
  <si>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</si>
  <si>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</si>
  <si>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</si>
  <si>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</si>
  <si>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</si>
  <si>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</si>
  <si>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</si>
  <si>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</si>
  <si>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</si>
  <si>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</si>
  <si>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</si>
  <si>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</si>
  <si>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</si>
  <si>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</si>
  <si>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</si>
  <si>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</si>
  <si>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</si>
  <si>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</si>
  <si>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</si>
  <si>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</si>
  <si>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</si>
  <si>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</si>
  <si>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</si>
  <si>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</si>
  <si>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</si>
  <si>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</si>
  <si>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</si>
  <si>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</si>
  <si>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</si>
  <si>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</si>
  <si>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</si>
  <si>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</si>
  <si>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</si>
  <si>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</si>
  <si>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</si>
  <si>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</si>
  <si>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</si>
  <si>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</si>
  <si>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</si>
  <si>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</si>
  <si>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</si>
  <si>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</si>
  <si>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</si>
  <si>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</si>
  <si>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</si>
  <si>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</si>
  <si>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</si>
  <si>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</si>
  <si>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</si>
  <si>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</si>
  <si>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</si>
  <si>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</si>
  <si>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</si>
  <si>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</si>
  <si>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</si>
  <si>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</si>
  <si>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</si>
  <si>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</si>
  <si>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</si>
  <si>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</si>
  <si>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</si>
  <si>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</si>
  <si>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</si>
  <si>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</si>
  <si>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</si>
  <si>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</si>
  <si>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</si>
  <si>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</si>
  <si>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</si>
  <si>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</si>
  <si>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</si>
  <si>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</si>
  <si>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</si>
  <si>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</si>
  <si>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</si>
  <si>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</si>
  <si>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</si>
  <si>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</si>
  <si>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</si>
  <si>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</si>
  <si>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</si>
  <si>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</si>
  <si>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</si>
  <si>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</si>
  <si>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</si>
  <si>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</si>
  <si>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</si>
  <si>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</si>
  <si>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</si>
  <si>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</si>
  <si>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</si>
  <si>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</si>
  <si>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</si>
  <si>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</si>
  <si>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</si>
  <si>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</si>
  <si>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</si>
  <si>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</si>
  <si>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</si>
  <si>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</si>
  <si>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</si>
  <si>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</si>
  <si>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</si>
  <si>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</si>
  <si>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</si>
  <si>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</si>
  <si>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</si>
  <si>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</si>
  <si>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</si>
  <si>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</si>
  <si>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</si>
  <si>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</si>
  <si>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</si>
  <si>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</si>
  <si>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</si>
  <si>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</si>
  <si>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</si>
  <si>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</si>
  <si>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</si>
  <si>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</si>
  <si>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</si>
  <si>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</si>
  <si>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</si>
  <si>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</si>
  <si>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</si>
  <si>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</si>
  <si>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</si>
  <si>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</si>
  <si>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</si>
  <si>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</si>
  <si>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</si>
  <si>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</si>
  <si>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</si>
  <si>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</si>
  <si>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</si>
  <si>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</si>
  <si>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</si>
  <si>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</si>
  <si>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</si>
  <si>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</si>
  <si>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</si>
  <si>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</si>
  <si>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</si>
  <si>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</si>
  <si>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</si>
  <si>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</si>
  <si>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</si>
  <si>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</si>
  <si>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</si>
  <si>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</si>
  <si>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</si>
  <si>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</si>
  <si>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</si>
  <si>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</si>
  <si>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</si>
  <si>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</si>
  <si>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</si>
  <si>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</si>
  <si>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</si>
  <si>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</si>
  <si>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</si>
  <si>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</si>
  <si>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</si>
  <si>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</si>
  <si>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</si>
  <si>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</si>
  <si>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</si>
  <si>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</si>
  <si>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</si>
  <si>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</si>
  <si>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</si>
  <si>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</si>
  <si>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</si>
  <si>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</si>
  <si>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</si>
  <si>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</si>
  <si>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</si>
  <si>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</si>
  <si>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</si>
  <si>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</si>
  <si>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</si>
  <si>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</si>
  <si>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</si>
  <si>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</si>
  <si>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</si>
  <si>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</si>
  <si>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</si>
  <si>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</si>
  <si>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</si>
  <si>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</si>
  <si>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</si>
  <si>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</si>
  <si>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</si>
  <si>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</si>
  <si>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</si>
  <si>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</si>
  <si>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</si>
  <si>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</si>
  <si>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</si>
  <si>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</si>
  <si>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</si>
  <si>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</si>
  <si>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</si>
  <si>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</si>
  <si>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</si>
  <si>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</si>
  <si>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</si>
  <si>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</si>
  <si>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</si>
  <si>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</si>
  <si>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</si>
  <si>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</si>
  <si>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</si>
  <si>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</si>
  <si>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</si>
  <si>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</si>
  <si>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</si>
  <si>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</si>
  <si>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</si>
  <si>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</si>
  <si>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</si>
  <si>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</si>
  <si>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</si>
  <si>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</si>
  <si>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</si>
  <si>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</si>
  <si>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</si>
  <si>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</si>
  <si>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</si>
  <si>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</si>
  <si>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</si>
  <si>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</si>
  <si>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</si>
  <si>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</si>
  <si>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</si>
  <si>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</si>
  <si>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</si>
  <si>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</si>
  <si>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</si>
  <si>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</si>
  <si>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</si>
  <si>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</si>
  <si>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</si>
  <si>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</si>
  <si>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</si>
  <si>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</si>
  <si>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</si>
  <si>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</si>
  <si>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</si>
  <si>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</si>
  <si>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</si>
  <si>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</si>
  <si>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</si>
  <si>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</si>
  <si>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</si>
  <si>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</si>
  <si>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</si>
  <si>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</si>
  <si>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</si>
  <si>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</si>
  <si>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</si>
  <si>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</si>
  <si>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</si>
  <si>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</si>
  <si>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</si>
  <si>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</si>
  <si>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</si>
  <si>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</si>
  <si>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</si>
  <si>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</si>
  <si>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</si>
  <si>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</si>
  <si>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</si>
  <si>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</si>
  <si>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</si>
  <si>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</si>
  <si>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</si>
  <si>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</si>
  <si>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</si>
  <si>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</si>
  <si>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</si>
  <si>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</si>
  <si>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</si>
  <si>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</si>
  <si>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</si>
  <si>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</si>
  <si>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</si>
  <si>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</si>
  <si>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</si>
  <si>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</si>
  <si>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</si>
  <si>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</si>
  <si>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</si>
  <si>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</si>
  <si>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</si>
  <si>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</si>
  <si>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</si>
  <si>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</si>
  <si>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</si>
  <si>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</si>
  <si>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</si>
  <si>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</si>
  <si>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</si>
  <si>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</si>
  <si>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</si>
  <si>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</si>
  <si>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</si>
  <si>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</si>
  <si>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</si>
  <si>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</si>
  <si>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</si>
  <si>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</si>
  <si>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</si>
  <si>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</si>
  <si>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</si>
  <si>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</si>
  <si>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</si>
  <si>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</si>
  <si>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</si>
  <si>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</si>
  <si>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</si>
  <si>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</si>
  <si>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</si>
  <si>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</si>
  <si>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</si>
  <si>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</si>
  <si>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</si>
  <si>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</si>
  <si>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</si>
  <si>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</si>
  <si>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</si>
  <si>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</si>
  <si>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</si>
  <si>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</si>
  <si>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</si>
  <si>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</si>
  <si>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</si>
  <si>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</si>
  <si>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</si>
  <si>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</si>
  <si>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</si>
  <si>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</si>
  <si>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</si>
  <si>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</si>
  <si>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</si>
  <si>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</si>
  <si>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</si>
  <si>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</si>
  <si>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</si>
  <si>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</si>
  <si>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</si>
  <si>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</si>
  <si>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</si>
  <si>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</si>
  <si>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</si>
  <si>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</si>
  <si>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</si>
  <si>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</si>
  <si>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</si>
  <si>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</si>
  <si>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</si>
  <si>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</si>
  <si>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</si>
  <si>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</si>
  <si>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</si>
  <si>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</si>
  <si>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</si>
  <si>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</si>
  <si>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</si>
  <si>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</si>
  <si>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</si>
  <si>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</si>
  <si>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</si>
  <si>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</si>
  <si>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</si>
  <si>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</si>
  <si>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</si>
  <si>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</si>
  <si>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</si>
  <si>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</si>
  <si>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</si>
  <si>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</si>
  <si>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</si>
  <si>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</si>
  <si>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</si>
  <si>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</si>
  <si>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</si>
  <si>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</si>
  <si>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</si>
  <si>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</si>
  <si>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</si>
  <si>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</si>
  <si>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</si>
  <si>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</si>
  <si>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</si>
  <si>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</si>
  <si>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</si>
  <si>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</si>
  <si>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</si>
  <si>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</si>
  <si>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</si>
  <si>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</si>
  <si>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</si>
  <si>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</si>
  <si>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</si>
  <si>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</si>
  <si>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</si>
  <si>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</si>
  <si>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</si>
  <si>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</si>
  <si>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</si>
  <si>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</si>
  <si>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</si>
  <si>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</si>
  <si>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</si>
  <si>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</si>
  <si>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</si>
  <si>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</si>
  <si>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</si>
  <si>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</si>
  <si>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</si>
  <si>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</si>
  <si>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</si>
  <si>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</si>
  <si>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</si>
  <si>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</si>
  <si>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</si>
  <si>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</si>
  <si>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</si>
  <si>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</si>
  <si>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</si>
  <si>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</si>
  <si>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</si>
  <si>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</si>
  <si>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</si>
  <si>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</si>
  <si>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</si>
  <si>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</si>
  <si>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</si>
  <si>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</si>
  <si>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</si>
  <si>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</si>
  <si>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</si>
  <si>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</si>
  <si>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</si>
  <si>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</si>
  <si>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</si>
  <si>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</si>
  <si>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</si>
  <si>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</si>
  <si>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</si>
  <si>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</si>
  <si>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</si>
  <si>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</si>
  <si>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</si>
  <si>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</si>
  <si>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</si>
  <si>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</si>
  <si>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</si>
  <si>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</si>
  <si>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</si>
  <si>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</si>
  <si>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</si>
  <si>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</si>
  <si>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</si>
  <si>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</si>
  <si>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</si>
  <si>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</si>
  <si>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</si>
  <si>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</si>
  <si>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</si>
  <si>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</si>
  <si>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</si>
  <si>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</si>
  <si>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</si>
  <si>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</si>
  <si>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</si>
  <si>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</si>
  <si>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</si>
  <si>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</si>
  <si>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</si>
  <si>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</si>
  <si>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</si>
  <si>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</si>
  <si>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</si>
  <si>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</si>
  <si>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</si>
  <si>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</si>
  <si>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</si>
  <si>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</si>
  <si>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</si>
  <si>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</si>
  <si>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</si>
  <si>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</si>
  <si>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</si>
  <si>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</si>
  <si>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</si>
  <si>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</si>
  <si>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</si>
  <si>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</si>
  <si>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</si>
  <si>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</si>
  <si>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</si>
  <si>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</si>
  <si>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</si>
  <si>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</si>
  <si>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</si>
  <si>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</si>
  <si>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</si>
  <si>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</si>
  <si>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</si>
  <si>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</si>
  <si>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</si>
  <si>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</si>
  <si>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</si>
  <si>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</si>
  <si>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</si>
  <si>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</si>
  <si>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</si>
  <si>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</si>
  <si>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</si>
  <si>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</si>
  <si>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</si>
  <si>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</si>
  <si>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</si>
  <si>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</si>
  <si>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</si>
  <si>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</si>
  <si>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</si>
  <si>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</si>
  <si>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</si>
  <si>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</si>
  <si>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</si>
  <si>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</si>
  <si>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</si>
  <si>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</si>
  <si>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</si>
  <si>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</si>
  <si>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</si>
  <si>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</si>
  <si>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</si>
  <si>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</si>
  <si>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</si>
  <si>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</si>
  <si>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</si>
  <si>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</si>
  <si>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</si>
  <si>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</si>
  <si>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</si>
  <si>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</si>
  <si>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</si>
  <si>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</si>
  <si>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</si>
  <si>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</si>
  <si>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</si>
  <si>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</si>
  <si>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</si>
  <si>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</si>
  <si>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</si>
  <si>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</si>
  <si>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</si>
  <si>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</si>
  <si>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</si>
  <si>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</si>
  <si>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</si>
  <si>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</si>
  <si>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</si>
  <si>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</si>
  <si>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</si>
  <si>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</si>
  <si>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</si>
  <si>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</si>
  <si>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</si>
  <si>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</si>
  <si>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</si>
  <si>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</si>
  <si>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</si>
  <si>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</si>
  <si>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</si>
  <si>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</si>
  <si>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</si>
  <si>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</si>
  <si>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</si>
  <si>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</si>
  <si>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</si>
  <si>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</si>
  <si>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</si>
  <si>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</si>
  <si>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</si>
  <si>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</si>
  <si>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</si>
  <si>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</si>
  <si>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</si>
  <si>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</si>
  <si>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</si>
  <si>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</si>
  <si>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</si>
  <si>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</si>
  <si>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</si>
  <si>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</si>
  <si>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</si>
  <si>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</si>
  <si>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</si>
  <si>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</si>
  <si>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</si>
  <si>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</si>
  <si>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</si>
  <si>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</si>
  <si>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</si>
  <si>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</si>
  <si>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</si>
  <si>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</si>
  <si>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</si>
  <si>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</si>
  <si>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</si>
  <si>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</si>
  <si>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</si>
  <si>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</si>
  <si>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</si>
  <si>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</si>
  <si>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</si>
  <si>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</si>
  <si>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</si>
  <si>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</si>
  <si>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</si>
  <si>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</si>
  <si>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</si>
  <si>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</si>
  <si>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</si>
  <si>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</si>
  <si>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</si>
  <si>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</si>
  <si>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</si>
  <si>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</si>
  <si>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</si>
  <si>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</si>
  <si>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</si>
  <si>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</si>
  <si>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</si>
  <si>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</si>
  <si>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</si>
  <si>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</si>
  <si>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</si>
  <si>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</si>
  <si>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</si>
  <si>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</si>
  <si>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</si>
  <si>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</si>
  <si>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</si>
  <si>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</si>
  <si>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</si>
  <si>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</si>
  <si>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</si>
  <si>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</si>
  <si>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</si>
  <si>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</si>
  <si>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</si>
  <si>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</si>
  <si>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</si>
  <si>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</si>
  <si>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</si>
  <si>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</si>
  <si>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</si>
  <si>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</si>
  <si>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</si>
  <si>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</si>
  <si>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</si>
  <si>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</si>
  <si>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</si>
  <si>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</si>
  <si>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</si>
  <si>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</si>
  <si>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</si>
  <si>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</si>
  <si>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</si>
  <si>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</si>
  <si>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</si>
  <si>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</si>
  <si>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</si>
  <si>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</si>
  <si>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</si>
  <si>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</si>
  <si>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</si>
  <si>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</si>
  <si>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</si>
  <si>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</si>
  <si>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</si>
  <si>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</si>
  <si>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</si>
  <si>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</si>
  <si>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</si>
  <si>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</si>
  <si>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</si>
  <si>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</si>
  <si>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</si>
  <si>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</si>
  <si>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</si>
  <si>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</si>
  <si>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</si>
  <si>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</si>
  <si>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</si>
  <si>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</si>
  <si>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</si>
  <si>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</si>
  <si>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</si>
  <si>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</si>
  <si>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</si>
  <si>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</si>
  <si>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</si>
  <si>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</si>
  <si>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</si>
  <si>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</si>
  <si>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</si>
  <si>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</si>
  <si>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</si>
  <si>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</si>
  <si>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</si>
  <si>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</si>
  <si>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</si>
  <si>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</si>
  <si>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</si>
  <si>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</si>
  <si>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</si>
  <si>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</si>
  <si>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</si>
  <si>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</si>
  <si>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</si>
  <si>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</si>
  <si>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</si>
  <si>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</si>
  <si>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</si>
  <si>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</si>
  <si>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</si>
  <si>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</si>
  <si>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</si>
  <si>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</si>
  <si>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</si>
  <si>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</si>
  <si>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</si>
  <si>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</si>
  <si>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</si>
  <si>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</si>
  <si>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</si>
  <si>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</si>
  <si>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</si>
  <si>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</si>
  <si>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</si>
  <si>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</si>
  <si>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</si>
  <si>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</si>
  <si>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</si>
  <si>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</si>
  <si>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</si>
  <si>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</si>
  <si>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</si>
  <si>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</si>
  <si>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</si>
  <si>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</si>
  <si>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</si>
  <si>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</si>
  <si>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</si>
  <si>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</si>
  <si>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</si>
  <si>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</si>
  <si>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</si>
  <si>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</si>
  <si>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</si>
  <si>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</si>
  <si>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</si>
  <si>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</si>
  <si>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</si>
  <si>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</si>
  <si>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</si>
  <si>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</si>
  <si>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</si>
  <si>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</si>
  <si>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</si>
  <si>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</si>
  <si>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</si>
  <si>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</si>
  <si>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</si>
  <si>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</si>
  <si>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</si>
  <si>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</si>
  <si>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</si>
  <si>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</si>
  <si>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</si>
  <si>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</si>
  <si>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</si>
  <si>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</si>
  <si>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</si>
  <si>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</si>
  <si>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</si>
  <si>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</si>
  <si>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</si>
  <si>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</si>
  <si>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</si>
  <si>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</si>
  <si>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</si>
  <si>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</si>
  <si>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</si>
  <si>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</si>
  <si>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</si>
  <si>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</si>
  <si>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</si>
  <si>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</si>
  <si>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</si>
  <si>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</si>
  <si>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</si>
  <si>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</si>
  <si>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</si>
  <si>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</si>
  <si>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</si>
  <si>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</si>
  <si>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</si>
  <si>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</si>
  <si>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</si>
  <si>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</si>
  <si>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</si>
  <si>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</si>
  <si>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</si>
  <si>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</si>
  <si>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</si>
  <si>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</si>
  <si>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</si>
  <si>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</si>
  <si>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</si>
  <si>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</si>
  <si>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</si>
  <si>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</si>
  <si>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</si>
  <si>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</si>
  <si>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</si>
  <si>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</si>
  <si>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</si>
  <si>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</si>
  <si>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</si>
  <si>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</si>
  <si>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</si>
  <si>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</si>
  <si>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</si>
  <si>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</si>
  <si>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</si>
  <si>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</si>
  <si>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</si>
  <si>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</si>
  <si>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</si>
  <si>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</si>
  <si>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</si>
  <si>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</si>
  <si>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</si>
  <si>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</si>
  <si>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</si>
  <si>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</si>
  <si>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</si>
  <si>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</si>
  <si>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</si>
  <si>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</si>
  <si>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</si>
  <si>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</si>
  <si>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</si>
  <si>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</si>
  <si>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</si>
  <si>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</si>
  <si>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</si>
  <si>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</si>
  <si>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</si>
  <si>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</si>
  <si>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</si>
  <si>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</si>
  <si>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</si>
  <si>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</si>
  <si>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</si>
  <si>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</si>
  <si>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</si>
  <si>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</si>
  <si>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</si>
  <si>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</si>
  <si>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</si>
  <si>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</si>
  <si>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</si>
  <si>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</si>
  <si>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</si>
  <si>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</si>
  <si>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</si>
  <si>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</si>
  <si>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</si>
  <si>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</si>
  <si>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</si>
  <si>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</si>
  <si>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</si>
  <si>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</si>
  <si>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</si>
  <si>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</si>
  <si>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</si>
  <si>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</si>
  <si>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</si>
  <si>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</si>
  <si>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</si>
  <si>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</si>
  <si>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</si>
  <si>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</si>
  <si>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</si>
  <si>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</si>
  <si>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</si>
  <si>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</si>
  <si>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</si>
  <si>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</si>
  <si>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</si>
  <si>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</si>
  <si>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</si>
  <si>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</si>
  <si>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</si>
  <si>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</si>
  <si>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</si>
  <si>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</si>
  <si>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</si>
  <si>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</si>
  <si>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</si>
  <si>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</si>
  <si>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</si>
  <si>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</si>
  <si>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</si>
  <si>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</si>
  <si>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</si>
  <si>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</si>
  <si>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</si>
  <si>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</si>
  <si>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</si>
  <si>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</si>
  <si>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</si>
  <si>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</si>
  <si>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</si>
  <si>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</si>
  <si>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</si>
  <si>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</si>
  <si>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</si>
  <si>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</si>
  <si>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</si>
  <si>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</si>
  <si>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</si>
  <si>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</si>
  <si>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</si>
  <si>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</si>
  <si>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</si>
  <si>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</si>
  <si>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</si>
  <si>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</si>
  <si>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</si>
  <si>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</si>
  <si>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</si>
  <si>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</si>
  <si>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</si>
  <si>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</si>
  <si>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</si>
  <si>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</si>
  <si>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</si>
  <si>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</si>
  <si>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</si>
  <si>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</si>
  <si>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</si>
  <si>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</si>
  <si>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</si>
  <si>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</si>
  <si>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</si>
  <si>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</si>
  <si>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</si>
  <si>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</si>
  <si>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</si>
  <si>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</si>
  <si>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</si>
  <si>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</si>
  <si>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</si>
  <si>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</si>
  <si>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</si>
  <si>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</si>
  <si>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</si>
  <si>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</si>
  <si>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</si>
  <si>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</si>
  <si>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</si>
  <si>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</si>
  <si>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</si>
  <si>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</si>
  <si>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</si>
  <si>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</si>
  <si>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</si>
  <si>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</si>
  <si>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</si>
  <si>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</si>
  <si>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</si>
  <si>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</si>
  <si>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</si>
  <si>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</si>
  <si>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</si>
  <si>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</si>
  <si>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</si>
  <si>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</si>
  <si>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</si>
  <si>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</si>
  <si>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</si>
  <si>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</si>
  <si>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</si>
  <si>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</si>
  <si>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</si>
  <si>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</si>
  <si>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</si>
  <si>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</si>
  <si>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</si>
  <si>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</si>
  <si>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</si>
  <si>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</si>
  <si>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</si>
  <si>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</si>
  <si>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</si>
  <si>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</si>
  <si>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</si>
  <si>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</si>
  <si>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</si>
  <si>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</si>
  <si>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</si>
  <si>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</si>
  <si>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</si>
  <si>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</si>
  <si>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</si>
  <si>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</si>
  <si>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</si>
  <si>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</si>
  <si>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</si>
  <si>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</si>
  <si>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</si>
  <si>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</si>
  <si>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</si>
  <si>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</si>
  <si>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</si>
  <si>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</si>
  <si>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</si>
  <si>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</si>
  <si>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</si>
  <si>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</si>
  <si>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</si>
  <si>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</si>
  <si>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</si>
  <si>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</si>
  <si>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</si>
  <si>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</si>
  <si>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</si>
  <si>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</si>
  <si>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</si>
  <si>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</si>
  <si>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</si>
  <si>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</si>
  <si>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</si>
  <si>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</si>
  <si>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</si>
  <si>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</si>
  <si>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</si>
  <si>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</si>
  <si>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</si>
  <si>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</si>
  <si>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</si>
  <si>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</si>
  <si>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</si>
  <si>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</si>
  <si>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</si>
  <si>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</si>
  <si>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</si>
  <si>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</si>
  <si>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</si>
  <si>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</si>
  <si>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</si>
  <si>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</si>
  <si>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</si>
  <si>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</si>
  <si>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</si>
  <si>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</si>
  <si>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</si>
  <si>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</si>
  <si>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</si>
  <si>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</si>
  <si>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</si>
  <si>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</si>
  <si>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</si>
  <si>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</si>
  <si>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</si>
  <si>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</si>
  <si>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</si>
  <si>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</si>
  <si>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</si>
  <si>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</si>
  <si>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</si>
  <si>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</si>
  <si>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</si>
  <si>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</si>
  <si>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</si>
  <si>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</si>
  <si>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</si>
  <si>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</si>
  <si>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</si>
  <si>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</si>
  <si>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</si>
  <si>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</si>
  <si>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</si>
  <si>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</si>
  <si>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</si>
  <si>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</si>
  <si>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</si>
  <si>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</si>
  <si>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</si>
  <si>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</si>
  <si>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</si>
  <si>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</si>
  <si>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</si>
  <si>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</si>
  <si>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</si>
  <si>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</si>
  <si>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</si>
  <si>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</si>
  <si>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</si>
  <si>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</si>
  <si>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</si>
  <si>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</si>
  <si>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</si>
  <si>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</si>
  <si>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</si>
  <si>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</si>
  <si>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</si>
  <si>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</si>
  <si>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</si>
  <si>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</si>
  <si>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</si>
  <si>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</si>
  <si>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</si>
  <si>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</si>
  <si>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</si>
  <si>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</si>
  <si>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</si>
  <si>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</si>
  <si>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</si>
  <si>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</si>
  <si>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</si>
  <si>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</si>
  <si>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</si>
  <si>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</si>
  <si>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</si>
  <si>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</si>
  <si>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</si>
  <si>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</si>
  <si>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</si>
  <si>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</si>
  <si>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</si>
  <si>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</si>
  <si>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</si>
  <si>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</si>
  <si>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</si>
  <si>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</si>
  <si>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</si>
  <si>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</si>
  <si>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</si>
  <si>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</si>
  <si>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</si>
  <si>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</si>
  <si>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</si>
  <si>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</si>
  <si>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</si>
  <si>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</si>
  <si>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</si>
  <si>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</si>
  <si>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</si>
  <si>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</si>
  <si>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</si>
  <si>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</si>
  <si>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</si>
  <si>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</si>
  <si>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</si>
  <si>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</si>
  <si>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</si>
  <si>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</si>
  <si>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</si>
  <si>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</si>
  <si>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</si>
  <si>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</si>
  <si>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</si>
  <si>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</si>
  <si>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</si>
  <si>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</si>
  <si>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</si>
  <si>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</si>
  <si>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</si>
  <si>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</si>
  <si>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</si>
  <si>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</si>
  <si>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</si>
  <si>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</si>
  <si>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</si>
  <si>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</si>
  <si>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</si>
  <si>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</si>
  <si>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</si>
  <si>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</si>
  <si>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</si>
  <si>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</si>
  <si>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</si>
  <si>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</si>
  <si>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</si>
  <si>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</si>
  <si>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</si>
  <si>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</si>
  <si>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</si>
  <si>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</si>
  <si>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</si>
  <si>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</si>
  <si>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</si>
  <si>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</si>
  <si>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</si>
  <si>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</si>
  <si>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</si>
  <si>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</si>
  <si>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</si>
  <si>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</si>
  <si>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</si>
  <si>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</si>
  <si>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</si>
  <si>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</si>
  <si>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</si>
  <si>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</si>
  <si>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</si>
  <si>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</si>
  <si>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</si>
  <si>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</si>
  <si>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</si>
  <si>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</si>
  <si>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</si>
  <si>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</si>
  <si>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</si>
  <si>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</si>
  <si>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</si>
  <si>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</si>
  <si>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</si>
  <si>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</si>
  <si>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</si>
  <si>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</si>
  <si>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</si>
  <si>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</si>
  <si>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</si>
  <si>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</si>
  <si>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</si>
  <si>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</si>
  <si>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</si>
  <si>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</si>
  <si>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</si>
  <si>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</si>
  <si>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</si>
  <si>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</si>
  <si>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</si>
  <si>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</si>
  <si>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</si>
  <si>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</si>
  <si>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</si>
  <si>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</si>
  <si>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</si>
  <si>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</si>
  <si>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</si>
  <si>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</si>
  <si>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</si>
  <si>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</si>
  <si>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</si>
  <si>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</si>
  <si>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</si>
  <si>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</si>
  <si>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</si>
  <si>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</si>
  <si>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</si>
  <si>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</si>
  <si>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</si>
  <si>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</si>
  <si>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</si>
  <si>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</si>
  <si>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</si>
  <si>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</si>
  <si>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</si>
  <si>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</si>
  <si>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</si>
  <si>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</si>
  <si>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</si>
  <si>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</si>
  <si>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</si>
  <si>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</si>
  <si>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</si>
  <si>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</si>
  <si>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</si>
  <si>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</si>
  <si>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</si>
  <si>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</si>
  <si>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</si>
  <si>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</si>
  <si>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</si>
  <si>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</si>
  <si>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</si>
  <si>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</si>
  <si>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</si>
  <si>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</si>
  <si>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</si>
  <si>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</si>
  <si>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</si>
  <si>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</si>
  <si>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</si>
  <si>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</si>
  <si>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</si>
  <si>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</si>
  <si>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</si>
  <si>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</si>
  <si>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</si>
  <si>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</si>
  <si>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</si>
  <si>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</si>
  <si>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</si>
  <si>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</si>
  <si>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</si>
  <si>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</si>
  <si>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</si>
  <si>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</si>
  <si>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</si>
  <si>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</si>
  <si>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</si>
  <si>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</si>
  <si>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</si>
  <si>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</si>
  <si>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</si>
  <si>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</si>
  <si>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</si>
  <si>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</si>
  <si>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</si>
  <si>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</si>
  <si>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</si>
  <si>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</si>
  <si>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</si>
  <si>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</si>
  <si>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</si>
  <si>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</si>
  <si>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</si>
  <si>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</si>
  <si>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</si>
  <si>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</si>
  <si>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</si>
  <si>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</si>
  <si>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</si>
  <si>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</si>
  <si>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</si>
  <si>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</si>
  <si>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</si>
  <si>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</si>
  <si>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</si>
  <si>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</si>
  <si>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</si>
  <si>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</si>
  <si>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</si>
  <si>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</si>
  <si>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</si>
  <si>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</si>
  <si>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</si>
  <si>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</si>
  <si>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</si>
  <si>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</si>
  <si>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</si>
  <si>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</si>
  <si>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</si>
  <si>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</si>
  <si>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</si>
  <si>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</si>
  <si>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</si>
  <si>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</si>
  <si>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</si>
  <si>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</si>
  <si>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</si>
  <si>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</si>
  <si>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</si>
  <si>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</si>
  <si>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</si>
  <si>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</si>
  <si>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</si>
  <si>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</si>
  <si>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</si>
  <si>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</si>
  <si>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</si>
  <si>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</si>
  <si>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</si>
  <si>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</si>
  <si>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</si>
  <si>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</si>
  <si>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</si>
  <si>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</si>
  <si>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</si>
  <si>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</si>
  <si>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</si>
  <si>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</si>
  <si>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</si>
  <si>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</si>
  <si>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</si>
  <si>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</si>
  <si>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</si>
  <si>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</si>
  <si>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</si>
  <si>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</si>
  <si>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</si>
  <si>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</si>
  <si>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</si>
  <si>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</si>
  <si>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</si>
  <si>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</si>
  <si>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</si>
  <si>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</si>
  <si>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</si>
  <si>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</si>
  <si>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</si>
  <si>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</si>
  <si>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</si>
  <si>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</si>
  <si>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</si>
  <si>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</si>
  <si>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</si>
  <si>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</si>
  <si>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</si>
  <si>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</si>
  <si>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</si>
  <si>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</si>
  <si>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</si>
  <si>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</si>
  <si>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</si>
  <si>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</si>
  <si>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</si>
  <si>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</si>
  <si>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</si>
  <si>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</si>
  <si>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</si>
  <si>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</si>
  <si>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</si>
  <si>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</si>
  <si>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</si>
  <si>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</si>
  <si>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</si>
  <si>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</si>
  <si>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</si>
  <si>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</si>
  <si>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</si>
  <si>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</si>
  <si>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</si>
  <si>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</si>
  <si>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</si>
  <si>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</si>
  <si>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</si>
  <si>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</si>
  <si>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</si>
  <si>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</si>
  <si>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</si>
  <si>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</si>
  <si>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</si>
  <si>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</si>
  <si>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</si>
  <si>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</si>
  <si>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</si>
  <si>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</si>
  <si>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</si>
  <si>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</si>
  <si>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</si>
  <si>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</si>
  <si>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</si>
  <si>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</si>
  <si>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</si>
  <si>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</si>
  <si>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</si>
  <si>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</si>
  <si>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</si>
  <si>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</si>
  <si>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</si>
  <si>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</si>
  <si>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</si>
  <si>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</si>
  <si>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</si>
  <si>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</si>
  <si>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</si>
  <si>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</si>
  <si>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</si>
  <si>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</si>
  <si>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</si>
  <si>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</si>
  <si>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</si>
  <si>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</si>
  <si>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</si>
  <si>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</si>
  <si>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</si>
  <si>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</si>
  <si>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</si>
  <si>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</si>
  <si>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</si>
  <si>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</si>
  <si>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</si>
  <si>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</si>
  <si>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</si>
  <si>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</si>
  <si>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</si>
  <si>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</si>
  <si>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</si>
  <si>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</si>
  <si>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</si>
  <si>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</si>
  <si>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</si>
  <si>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</si>
  <si>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</si>
  <si>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</si>
  <si>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</si>
  <si>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</si>
  <si>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</si>
  <si>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</si>
  <si>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</si>
  <si>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</si>
  <si>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</si>
  <si>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</si>
  <si>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</si>
  <si>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</si>
  <si>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</si>
  <si>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</si>
  <si>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</si>
  <si>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</si>
  <si>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</si>
  <si>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</si>
  <si>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</si>
  <si>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</si>
  <si>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</si>
  <si>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</si>
  <si>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</si>
  <si>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</si>
  <si>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</si>
  <si>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</si>
  <si>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</si>
  <si>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</si>
  <si>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</si>
  <si>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</si>
  <si>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</si>
  <si>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</si>
  <si>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</si>
  <si>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</si>
  <si>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</si>
  <si>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</si>
  <si>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</si>
  <si>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</si>
  <si>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</si>
  <si>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</si>
  <si>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</si>
  <si>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</si>
  <si>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</si>
  <si>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</si>
  <si>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</si>
  <si>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</si>
  <si>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</si>
  <si>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</si>
  <si>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</si>
  <si>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</si>
  <si>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</si>
  <si>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</si>
  <si>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</si>
  <si>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</si>
  <si>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</si>
  <si>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</si>
  <si>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</si>
  <si>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</si>
  <si>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</si>
  <si>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</si>
  <si>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</si>
  <si>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</si>
  <si>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</si>
  <si>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</si>
  <si>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</si>
  <si>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</si>
  <si>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</si>
  <si>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</si>
  <si>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</si>
  <si>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</si>
  <si>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</si>
  <si>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</si>
  <si>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</si>
  <si>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</si>
  <si>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</si>
  <si>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</si>
  <si>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</si>
  <si>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</si>
  <si>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</si>
  <si>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</si>
  <si>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</si>
  <si>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</si>
  <si>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</si>
  <si>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</si>
  <si>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</si>
  <si>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</si>
  <si>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</si>
  <si>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</si>
  <si>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</si>
  <si>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</si>
  <si>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</si>
  <si>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</si>
  <si>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</si>
  <si>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</si>
  <si>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</si>
  <si>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</si>
  <si>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</si>
  <si>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</si>
  <si>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</si>
  <si>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</si>
  <si>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</si>
  <si>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</si>
  <si>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</si>
  <si>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</si>
  <si>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</si>
  <si>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</si>
  <si>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</si>
  <si>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</si>
  <si>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</si>
  <si>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</si>
  <si>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</si>
  <si>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</si>
  <si>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</si>
  <si>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</si>
  <si>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</si>
  <si>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</si>
  <si>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</si>
  <si>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</si>
  <si>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</si>
  <si>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</si>
  <si>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</si>
  <si>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</si>
  <si>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</si>
  <si>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</si>
  <si>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</si>
  <si>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</si>
  <si>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</si>
  <si>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</si>
  <si>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</si>
  <si>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</si>
  <si>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</si>
  <si>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</si>
  <si>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</si>
  <si>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</si>
  <si>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</si>
  <si>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</si>
  <si>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</si>
  <si>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</si>
  <si>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</si>
  <si>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</si>
  <si>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</si>
  <si>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</si>
  <si>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</si>
  <si>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</si>
  <si>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</si>
  <si>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</si>
  <si>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</si>
  <si>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</si>
  <si>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</si>
  <si>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</si>
  <si>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</si>
  <si>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</si>
  <si>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</si>
  <si>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</si>
  <si>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</si>
  <si>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</si>
  <si>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</si>
  <si>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</si>
  <si>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</si>
  <si>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</si>
  <si>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</si>
  <si>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</si>
  <si>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</si>
  <si>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</si>
  <si>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</si>
  <si>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</si>
  <si>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</si>
  <si>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</si>
  <si>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</si>
  <si>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</si>
  <si>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</si>
  <si>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</si>
  <si>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</si>
  <si>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</si>
  <si>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</si>
  <si>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</si>
  <si>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</si>
  <si>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</si>
  <si>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</si>
  <si>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</si>
  <si>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</si>
  <si>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</si>
  <si>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</si>
  <si>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</si>
  <si>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</si>
  <si>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</si>
  <si>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</si>
  <si>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</si>
  <si>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</si>
  <si>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</si>
  <si>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</si>
  <si>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</si>
  <si>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</si>
  <si>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</si>
  <si>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</si>
  <si>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</si>
  <si>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</si>
  <si>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</si>
  <si>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</si>
  <si>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</si>
  <si>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</si>
  <si>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</si>
  <si>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</si>
  <si>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</si>
  <si>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</si>
  <si>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</si>
  <si>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</si>
  <si>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</si>
  <si>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</si>
  <si>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</si>
  <si>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</si>
  <si>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</si>
  <si>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</si>
  <si>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</si>
  <si>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</si>
  <si>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</si>
  <si>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</si>
  <si>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</si>
  <si>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</si>
  <si>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</si>
  <si>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</si>
  <si>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</si>
  <si>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</si>
  <si>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</si>
  <si>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</si>
  <si>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</si>
  <si>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</si>
  <si>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</si>
  <si>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</si>
  <si>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</si>
  <si>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</si>
  <si>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</si>
  <si>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</si>
  <si>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</si>
  <si>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</si>
  <si>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</si>
  <si>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</si>
  <si>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</si>
  <si>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</si>
  <si>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</si>
  <si>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</si>
  <si>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</si>
  <si>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</si>
  <si>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</si>
  <si>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</si>
  <si>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</si>
  <si>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</si>
  <si>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</si>
  <si>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</si>
  <si>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</si>
  <si>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</si>
  <si>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</si>
  <si>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</si>
  <si>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</si>
  <si>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</si>
  <si>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</si>
  <si>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</si>
  <si>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</si>
  <si>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</si>
  <si>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</si>
  <si>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</si>
  <si>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</si>
  <si>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</si>
  <si>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</si>
  <si>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</si>
  <si>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</si>
  <si>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</si>
  <si>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</si>
  <si>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</si>
  <si>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</si>
  <si>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</si>
  <si>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</si>
  <si>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</si>
  <si>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</si>
  <si>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</si>
  <si>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</si>
  <si>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</si>
  <si>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</si>
  <si>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</si>
  <si>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</si>
  <si>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</si>
  <si>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</si>
  <si>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</si>
  <si>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</si>
  <si>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</si>
  <si>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</si>
  <si>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</si>
  <si>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</si>
  <si>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</si>
  <si>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</si>
  <si>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</si>
  <si>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</si>
  <si>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</si>
  <si>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</si>
  <si>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</si>
  <si>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</si>
  <si>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</si>
  <si>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</si>
  <si>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</si>
  <si>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</si>
  <si>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</si>
  <si>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</si>
  <si>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</si>
  <si>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</si>
  <si>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</si>
  <si>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</si>
  <si>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</si>
  <si>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</si>
  <si>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</si>
  <si>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</si>
  <si>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</si>
  <si>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</si>
  <si>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</si>
  <si>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</si>
  <si>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</si>
  <si>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</si>
  <si>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</si>
  <si>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</si>
  <si>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</si>
  <si>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</si>
  <si>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</si>
  <si>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</si>
  <si>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</si>
  <si>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</si>
  <si>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</si>
  <si>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</si>
  <si>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</si>
  <si>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</si>
  <si>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</si>
  <si>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</si>
  <si>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</si>
  <si>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</si>
  <si>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</si>
  <si>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</si>
  <si>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</si>
  <si>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</si>
  <si>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</si>
  <si>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</si>
  <si>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</si>
  <si>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</si>
  <si>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</si>
  <si>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</si>
  <si>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</si>
  <si>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</si>
  <si>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</si>
  <si>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</si>
  <si>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</si>
  <si>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</si>
  <si>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</si>
  <si>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</si>
  <si>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</si>
  <si>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</si>
  <si>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</si>
  <si>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</si>
  <si>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</si>
  <si>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</si>
  <si>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</si>
  <si>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</si>
  <si>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</si>
  <si>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</si>
  <si>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</si>
  <si>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</si>
  <si>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</si>
  <si>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</si>
  <si>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</si>
  <si>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</si>
  <si>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</si>
  <si>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</si>
  <si>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</si>
  <si>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</si>
  <si>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</si>
  <si>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</si>
  <si>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</si>
  <si>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</si>
  <si>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</si>
  <si>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</si>
  <si>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</si>
  <si>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</si>
  <si>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</si>
  <si>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</si>
  <si>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</si>
  <si>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</si>
  <si>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</si>
  <si>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</si>
  <si>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</si>
  <si>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</si>
  <si>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</si>
  <si>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</si>
  <si>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</si>
  <si>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</si>
  <si>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</si>
  <si>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</si>
  <si>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</si>
  <si>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</si>
  <si>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</si>
  <si>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</si>
  <si>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</si>
  <si>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</si>
  <si>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</si>
  <si>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</si>
  <si>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</si>
  <si>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</si>
  <si>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</si>
  <si>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</si>
  <si>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</si>
  <si>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</si>
  <si>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</si>
  <si>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</si>
  <si>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</si>
  <si>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</si>
  <si>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</si>
  <si>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</si>
  <si>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</si>
  <si>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</si>
  <si>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</si>
  <si>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</si>
  <si>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</si>
  <si>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</si>
  <si>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</si>
  <si>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</si>
  <si>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</si>
  <si>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</si>
  <si>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</si>
  <si>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</si>
  <si>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</si>
  <si>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</si>
  <si>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</si>
  <si>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</si>
  <si>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</si>
  <si>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</si>
  <si>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</si>
  <si>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</si>
  <si>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</si>
  <si>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</si>
  <si>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</si>
  <si>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</si>
  <si>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</si>
  <si>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</si>
  <si>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</si>
  <si>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</si>
  <si>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</si>
  <si>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</si>
  <si>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</si>
  <si>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</si>
  <si>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</si>
  <si>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</si>
  <si>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</si>
  <si>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</si>
  <si>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</si>
  <si>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</si>
  <si>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</si>
  <si>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</si>
  <si>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</si>
  <si>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</si>
  <si>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</si>
  <si>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</si>
  <si>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</si>
  <si>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</si>
  <si>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</si>
  <si>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</si>
  <si>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</si>
  <si>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</si>
  <si>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</si>
  <si>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</si>
  <si>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</si>
  <si>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</si>
  <si>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</si>
  <si>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</si>
  <si>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</si>
  <si>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</si>
  <si>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</si>
  <si>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</si>
  <si>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</si>
  <si>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</si>
  <si>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</si>
  <si>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</si>
  <si>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</si>
  <si>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</si>
  <si>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</si>
  <si>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</si>
  <si>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</si>
  <si>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</si>
  <si>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</si>
  <si>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</si>
  <si>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</si>
  <si>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</si>
  <si>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</si>
  <si>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</si>
  <si>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</si>
  <si>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</si>
  <si>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</si>
  <si>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</si>
  <si>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</si>
  <si>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</si>
  <si>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</si>
  <si>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</si>
  <si>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</si>
  <si>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</si>
  <si>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</si>
  <si>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</si>
  <si>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</si>
  <si>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</si>
  <si>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</si>
  <si>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</si>
  <si>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</si>
  <si>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</si>
  <si>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</si>
  <si>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</si>
  <si>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</si>
  <si>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</si>
  <si>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</si>
  <si>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</si>
  <si>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</si>
  <si>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</si>
  <si>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</si>
  <si>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</si>
  <si>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</si>
  <si>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</si>
  <si>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</si>
  <si>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</si>
  <si>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</si>
  <si>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</si>
  <si>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</si>
  <si>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</si>
  <si>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</si>
  <si>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</si>
  <si>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</si>
  <si>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</si>
  <si>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</si>
  <si>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</si>
  <si>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</si>
  <si>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</si>
  <si>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</si>
  <si>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</si>
  <si>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</si>
  <si>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</si>
  <si>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</si>
  <si>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</si>
  <si>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</si>
  <si>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</si>
  <si>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</si>
  <si>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</si>
  <si>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</si>
  <si>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</si>
  <si>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</si>
  <si>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</si>
  <si>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</si>
  <si>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</si>
  <si>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</si>
  <si>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</si>
  <si>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</si>
  <si>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</si>
  <si>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</si>
  <si>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</si>
  <si>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</si>
  <si>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</si>
  <si>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</si>
  <si>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</si>
  <si>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</si>
  <si>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</si>
  <si>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</si>
  <si>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</si>
  <si>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</si>
  <si>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</si>
  <si>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</si>
  <si>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</si>
  <si>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</si>
  <si>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</si>
  <si>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</si>
  <si>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</si>
  <si>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</si>
  <si>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</si>
  <si>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</si>
  <si>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</si>
  <si>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</si>
  <si>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</si>
  <si>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</si>
  <si>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</si>
  <si>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</si>
  <si>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</si>
  <si>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</si>
  <si>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</si>
  <si>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</si>
  <si>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</si>
  <si>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</si>
  <si>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</si>
  <si>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</si>
  <si>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</si>
  <si>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</si>
  <si>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</si>
  <si>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</si>
  <si>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</si>
  <si>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</si>
  <si>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</si>
  <si>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</si>
  <si>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</si>
  <si>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</si>
  <si>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</si>
  <si>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</si>
  <si>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</si>
  <si>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</si>
  <si>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</si>
  <si>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</si>
  <si>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</si>
  <si>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</si>
  <si>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</si>
  <si>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</si>
  <si>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</si>
  <si>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</si>
  <si>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</si>
  <si>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</si>
  <si>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</si>
  <si>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</si>
  <si>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</si>
  <si>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</si>
  <si>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</si>
  <si>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</si>
  <si>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</si>
  <si>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</si>
  <si>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</si>
  <si>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</si>
  <si>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</si>
  <si>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</si>
  <si>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</si>
  <si>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</si>
  <si>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</si>
  <si>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</si>
  <si>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</si>
  <si>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</si>
  <si>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</si>
  <si>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</si>
  <si>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</si>
  <si>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</si>
  <si>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</si>
  <si>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</si>
  <si>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</si>
  <si>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</si>
  <si>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</si>
  <si>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</si>
  <si>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</si>
  <si>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</si>
  <si>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</si>
  <si>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</si>
  <si>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</si>
  <si>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</si>
  <si>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</si>
  <si>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</si>
  <si>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</si>
  <si>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</si>
  <si>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</si>
  <si>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</si>
  <si>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</si>
  <si>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</si>
  <si>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</si>
  <si>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</si>
  <si>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</si>
  <si>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</si>
  <si>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</si>
  <si>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</si>
  <si>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</si>
  <si>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</si>
  <si>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</si>
  <si>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</si>
  <si>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</si>
  <si>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</si>
  <si>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</si>
  <si>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</si>
  <si>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</si>
  <si>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</si>
  <si>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</si>
  <si>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</si>
  <si>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</si>
  <si>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</si>
  <si>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</si>
  <si>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</si>
  <si>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</si>
  <si>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</si>
  <si>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</si>
  <si>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</si>
  <si>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</si>
  <si>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</si>
  <si>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</si>
  <si>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</si>
  <si>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</si>
  <si>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</si>
  <si>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</si>
  <si>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</si>
  <si>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</si>
  <si>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</si>
  <si>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</si>
  <si>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</si>
  <si>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</si>
  <si>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</si>
  <si>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</si>
  <si>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</si>
  <si>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</si>
  <si>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</si>
  <si>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</si>
  <si>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</si>
  <si>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</si>
  <si>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</si>
  <si>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</si>
  <si>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</si>
  <si>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</si>
  <si>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</si>
  <si>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</si>
  <si>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</si>
  <si>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</si>
  <si>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</si>
  <si>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</si>
  <si>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</si>
  <si>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</si>
  <si>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</si>
  <si>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</si>
  <si>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</si>
  <si>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</si>
  <si>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</si>
  <si>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</si>
  <si>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</si>
  <si>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</si>
  <si>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</si>
  <si>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</si>
  <si>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</si>
  <si>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</si>
  <si>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</si>
  <si>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</si>
  <si>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</si>
  <si>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</si>
  <si>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</si>
  <si>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</si>
  <si>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</si>
  <si>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</si>
  <si>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</si>
  <si>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</si>
  <si>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</si>
  <si>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</si>
  <si>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</si>
  <si>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</si>
  <si>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</si>
  <si>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</si>
  <si>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</si>
  <si>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</si>
  <si>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</si>
  <si>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</si>
  <si>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</si>
  <si>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</si>
  <si>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</si>
  <si>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</si>
  <si>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</si>
  <si>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</si>
  <si>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</si>
  <si>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</si>
  <si>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</si>
  <si>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</si>
  <si>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</si>
  <si>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</si>
  <si>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</si>
  <si>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</si>
  <si>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</si>
  <si>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</si>
  <si>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</si>
  <si>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</si>
  <si>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</si>
  <si>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</si>
  <si>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</si>
  <si>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</si>
  <si>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</si>
  <si>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</si>
  <si>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</si>
  <si>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</si>
  <si>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</si>
  <si>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</si>
  <si>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</si>
  <si>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</si>
  <si>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</si>
  <si>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</si>
  <si>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</si>
  <si>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</si>
  <si>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</si>
  <si>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</si>
  <si>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</si>
  <si>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</si>
  <si>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</si>
  <si>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</si>
  <si>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</si>
  <si>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</si>
  <si>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</si>
  <si>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</si>
  <si>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</si>
  <si>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</si>
  <si>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</si>
  <si>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</si>
  <si>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</si>
  <si>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</si>
  <si>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</si>
  <si>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</si>
  <si>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</si>
  <si>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</si>
  <si>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</si>
  <si>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</si>
  <si>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</si>
  <si>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</si>
  <si>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</si>
  <si>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</si>
  <si>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</si>
  <si>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</si>
  <si>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</si>
  <si>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</si>
  <si>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</si>
  <si>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</si>
  <si>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</si>
  <si>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</si>
  <si>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</si>
  <si>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</si>
  <si>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</si>
  <si>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</si>
  <si>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</si>
  <si>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</si>
  <si>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</si>
  <si>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</si>
  <si>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</si>
  <si>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</si>
  <si>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</si>
  <si>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</si>
  <si>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</si>
  <si>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</si>
  <si>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</si>
  <si>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</si>
  <si>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</si>
  <si>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</si>
  <si>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</si>
  <si>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</si>
  <si>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</si>
  <si>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</si>
  <si>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</si>
  <si>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</si>
  <si>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</si>
  <si>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</si>
  <si>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</si>
  <si>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</si>
  <si>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</si>
  <si>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</si>
  <si>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</si>
  <si>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</si>
  <si>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</si>
  <si>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</si>
  <si>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</si>
  <si>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</si>
  <si>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</si>
  <si>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</si>
  <si>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</si>
  <si>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</si>
  <si>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</si>
  <si>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</si>
  <si>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</si>
  <si>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</si>
  <si>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</si>
  <si>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</si>
  <si>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</si>
  <si>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</si>
  <si>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</si>
  <si>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</si>
  <si>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</si>
  <si>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</si>
  <si>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</si>
  <si>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</si>
  <si>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</si>
  <si>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</si>
  <si>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</si>
  <si>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</si>
  <si>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</si>
  <si>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</si>
  <si>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</si>
  <si>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</si>
  <si>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</si>
  <si>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</si>
  <si>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</si>
  <si>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</si>
  <si>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</si>
  <si>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</si>
  <si>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</si>
  <si>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</si>
  <si>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</si>
  <si>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</si>
  <si>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</si>
  <si>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</si>
  <si>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</si>
  <si>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</si>
  <si>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</si>
  <si>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</si>
  <si>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</si>
  <si>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</si>
  <si>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</si>
  <si>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</si>
  <si>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</si>
  <si>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</si>
  <si>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</si>
  <si>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</si>
  <si>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</si>
  <si>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</si>
  <si>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</si>
  <si>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</si>
  <si>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</si>
  <si>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</si>
  <si>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</si>
  <si>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</si>
  <si>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</si>
  <si>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</si>
  <si>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</si>
  <si>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</si>
  <si>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</si>
  <si>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</si>
  <si>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</si>
  <si>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</si>
  <si>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</si>
  <si>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</si>
  <si>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</si>
  <si>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</si>
  <si>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</si>
  <si>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</si>
  <si>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</si>
  <si>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</si>
  <si>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</si>
  <si>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</si>
  <si>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</si>
  <si>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</si>
  <si>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</si>
  <si>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</si>
  <si>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</si>
  <si>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</si>
  <si>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</si>
  <si>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</si>
  <si>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</si>
  <si>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</si>
  <si>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</si>
  <si>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</si>
  <si>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</si>
  <si>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</si>
  <si>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</si>
  <si>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</si>
  <si>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</si>
  <si>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</si>
  <si>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</si>
  <si>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</si>
  <si>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</si>
  <si>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</si>
  <si>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</si>
  <si>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</si>
  <si>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</si>
  <si>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</si>
  <si>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</si>
  <si>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</si>
  <si>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</si>
  <si>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</si>
  <si>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</si>
  <si>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</si>
  <si>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</si>
  <si>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</si>
  <si>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</si>
  <si>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</si>
  <si>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</si>
  <si>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</si>
  <si>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</si>
  <si>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</si>
  <si>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</si>
  <si>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</si>
  <si>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</si>
  <si>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</si>
  <si>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</si>
  <si>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</si>
  <si>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</si>
  <si>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</si>
  <si>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</si>
  <si>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</si>
  <si>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</si>
  <si>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</si>
  <si>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</si>
  <si>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</si>
  <si>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</si>
  <si>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</si>
  <si>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</si>
  <si>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</si>
  <si>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</si>
  <si>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</si>
  <si>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</si>
  <si>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</si>
  <si>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</si>
  <si>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</si>
  <si>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</si>
  <si>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</si>
  <si>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</si>
  <si>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</si>
  <si>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</si>
  <si>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</si>
  <si>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</si>
  <si>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</si>
  <si>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</si>
  <si>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</si>
  <si>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</si>
  <si>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</si>
  <si>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</si>
  <si>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</si>
  <si>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</si>
  <si>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</si>
  <si>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</si>
  <si>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</si>
  <si>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</si>
  <si>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</si>
  <si>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</si>
  <si>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</si>
  <si>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</si>
  <si>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</si>
  <si>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</si>
  <si>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</si>
  <si>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</si>
  <si>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</si>
  <si>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</si>
  <si>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</si>
  <si>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</si>
  <si>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</si>
  <si>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</si>
  <si>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</si>
  <si>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</si>
  <si>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</si>
  <si>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</si>
  <si>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</si>
  <si>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</si>
  <si>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</si>
  <si>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</si>
  <si>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</si>
  <si>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</si>
  <si>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</si>
  <si>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</si>
  <si>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</si>
  <si>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</si>
  <si>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</si>
  <si>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</si>
  <si>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</si>
  <si>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</si>
  <si>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</si>
  <si>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</si>
  <si>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</si>
  <si>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</si>
  <si>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</si>
  <si>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</si>
  <si>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</si>
  <si>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</si>
  <si>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</si>
  <si>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</si>
  <si>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</si>
  <si>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</si>
  <si>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</si>
  <si>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</si>
  <si>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</si>
  <si>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</si>
  <si>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</si>
  <si>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</si>
  <si>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</si>
  <si>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</si>
  <si>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</si>
  <si>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</si>
  <si>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</si>
  <si>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</si>
  <si>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</si>
  <si>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</si>
  <si>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</si>
  <si>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</si>
  <si>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</si>
  <si>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</si>
  <si>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</si>
  <si>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</si>
  <si>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</si>
  <si>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</si>
  <si>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</si>
  <si>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</si>
  <si>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</si>
  <si>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</si>
  <si>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</si>
  <si>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</si>
  <si>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</si>
  <si>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</si>
  <si>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</si>
  <si>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</si>
  <si>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</si>
  <si>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</si>
  <si>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</si>
  <si>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</si>
  <si>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</si>
  <si>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</si>
  <si>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</si>
  <si>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</si>
  <si>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</si>
  <si>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</si>
  <si>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</si>
  <si>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</si>
  <si>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</si>
  <si>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</si>
  <si>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</si>
  <si>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</si>
  <si>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</si>
  <si>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</si>
  <si>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</si>
  <si>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</si>
  <si>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</si>
  <si>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</si>
  <si>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</si>
  <si>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</si>
  <si>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</si>
  <si>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</si>
  <si>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</si>
  <si>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</si>
  <si>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</si>
  <si>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</si>
  <si>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</si>
  <si>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</si>
  <si>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</si>
  <si>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</si>
  <si>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</si>
  <si>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</si>
  <si>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</si>
  <si>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</si>
  <si>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</si>
  <si>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</si>
  <si>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</si>
  <si>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</si>
  <si>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</si>
  <si>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</si>
  <si>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</si>
  <si>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</si>
  <si>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</si>
  <si>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</si>
  <si>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</si>
  <si>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</si>
  <si>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</si>
  <si>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</si>
  <si>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</si>
  <si>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</si>
  <si>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</si>
  <si>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</si>
  <si>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</si>
  <si>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</si>
  <si>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</si>
  <si>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</si>
  <si>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</si>
  <si>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</si>
  <si>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</si>
  <si>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</si>
  <si>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</si>
  <si>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</si>
  <si>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</si>
  <si>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</si>
  <si>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</si>
  <si>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</si>
  <si>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</si>
  <si>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</si>
  <si>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</si>
  <si>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</si>
  <si>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</si>
  <si>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</si>
  <si>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</si>
  <si>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</si>
  <si>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</si>
  <si>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</si>
  <si>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</si>
  <si>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</si>
  <si>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</si>
  <si>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</si>
  <si>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</si>
  <si>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</si>
  <si>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</si>
  <si>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</si>
  <si>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</si>
  <si>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</si>
  <si>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</si>
  <si>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</si>
  <si>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</si>
  <si>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</si>
  <si>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</si>
  <si>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</si>
  <si>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</si>
  <si>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</si>
  <si>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</si>
  <si>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</si>
  <si>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</si>
  <si>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</si>
  <si>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</si>
  <si>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</si>
  <si>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</si>
  <si>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</si>
  <si>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</si>
  <si>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</si>
  <si>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</si>
  <si>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</si>
  <si>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</si>
  <si>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</si>
  <si>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</si>
  <si>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</si>
  <si>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</si>
  <si>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</si>
  <si>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</si>
  <si>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</si>
  <si>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</si>
  <si>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</si>
  <si>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</si>
  <si>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</si>
  <si>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</si>
  <si>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</si>
  <si>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</si>
  <si>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</si>
  <si>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</si>
  <si>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</si>
  <si>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</si>
  <si>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</si>
  <si>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</si>
  <si>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</si>
  <si>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</si>
  <si>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</si>
  <si>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</si>
  <si>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</si>
  <si>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</si>
  <si>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</si>
  <si>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</si>
  <si>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</si>
  <si>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</si>
  <si>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</si>
  <si>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</si>
  <si>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</si>
  <si>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</si>
  <si>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</si>
  <si>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</si>
  <si>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</si>
  <si>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</si>
  <si>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</si>
  <si>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</si>
  <si>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</si>
  <si>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</si>
  <si>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</si>
  <si>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</si>
  <si>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</si>
  <si>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</si>
  <si>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</si>
  <si>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</si>
  <si>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</si>
  <si>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</si>
  <si>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</si>
  <si>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</si>
  <si>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</si>
  <si>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</si>
  <si>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</si>
  <si>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</si>
  <si>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</si>
  <si>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</si>
  <si>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</si>
  <si>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</si>
  <si>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</si>
  <si>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</si>
  <si>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</si>
  <si>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</si>
  <si>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</si>
  <si>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</si>
  <si>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</si>
  <si>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</si>
  <si>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</si>
  <si>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</si>
  <si>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</si>
  <si>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</si>
  <si>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</si>
  <si>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</si>
  <si>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</si>
  <si>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</si>
  <si>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</si>
  <si>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</si>
  <si>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</si>
  <si>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</si>
  <si>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</si>
  <si>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</si>
  <si>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</si>
  <si>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</si>
  <si>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</si>
  <si>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</si>
  <si>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</si>
  <si>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</si>
  <si>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</si>
  <si>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</si>
  <si>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</si>
  <si>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</si>
  <si>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</si>
  <si>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</si>
  <si>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</si>
  <si>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</si>
  <si>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</si>
  <si>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</si>
  <si>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</si>
  <si>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</si>
  <si>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</si>
  <si>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</si>
  <si>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</si>
  <si>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</si>
  <si>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</si>
  <si>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</si>
  <si>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</si>
  <si>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</si>
  <si>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</si>
  <si>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</si>
  <si>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</si>
  <si>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</si>
  <si>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</si>
  <si>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</si>
  <si>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</si>
  <si>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</si>
  <si>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</si>
  <si>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</si>
  <si>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</si>
  <si>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</si>
  <si>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</si>
  <si>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</si>
  <si>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</si>
  <si>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</si>
  <si>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</si>
  <si>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</si>
  <si>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</si>
  <si>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</si>
  <si>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</si>
  <si>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</si>
  <si>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</si>
  <si>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</si>
  <si>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</si>
  <si>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</si>
  <si>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</si>
  <si>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</si>
  <si>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</si>
  <si>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</si>
  <si>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</si>
  <si>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</si>
  <si>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</si>
  <si>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</si>
  <si>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</si>
  <si>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</si>
  <si>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</si>
  <si>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</si>
  <si>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</si>
  <si>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</si>
  <si>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</si>
  <si>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</si>
  <si>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</si>
  <si>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</si>
  <si>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</si>
  <si>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</si>
  <si>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</si>
  <si>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</si>
  <si>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</si>
  <si>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</si>
  <si>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</si>
  <si>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</si>
  <si>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</si>
  <si>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</si>
  <si>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</si>
  <si>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</si>
  <si>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</si>
  <si>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</si>
  <si>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</si>
  <si>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</si>
  <si>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</si>
  <si>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</si>
  <si>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</si>
  <si>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</si>
  <si>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</si>
  <si>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</si>
  <si>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</si>
  <si>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</si>
  <si>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</si>
  <si>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</si>
  <si>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</si>
  <si>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</si>
  <si>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</si>
  <si>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</si>
  <si>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</si>
  <si>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</si>
  <si>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</si>
  <si>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</si>
  <si>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</si>
  <si>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</si>
  <si>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</si>
  <si>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</si>
  <si>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</si>
  <si>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</si>
  <si>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</si>
  <si>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</si>
  <si>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</si>
  <si>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</si>
  <si>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</si>
  <si>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</si>
  <si>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</si>
  <si>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</si>
  <si>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</si>
  <si>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</si>
  <si>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</si>
  <si>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</si>
  <si>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</si>
  <si>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</si>
  <si>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</si>
  <si>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</si>
  <si>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</si>
  <si>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</si>
  <si>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</si>
  <si>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</si>
  <si>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</si>
  <si>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</si>
  <si>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</si>
  <si>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</si>
  <si>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</si>
  <si>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</si>
  <si>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</si>
  <si>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</si>
  <si>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</si>
  <si>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</si>
  <si>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</si>
  <si>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</si>
  <si>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</si>
  <si>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</si>
  <si>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</si>
  <si>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</si>
  <si>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</si>
  <si>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</si>
  <si>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</si>
  <si>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</si>
  <si>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</si>
  <si>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</si>
  <si>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</si>
  <si>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</si>
  <si>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</si>
  <si>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</si>
  <si>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</si>
  <si>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</si>
  <si>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</si>
  <si>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</si>
  <si>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</si>
  <si>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</si>
  <si>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</si>
  <si>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</si>
  <si>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</si>
  <si>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</si>
  <si>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</si>
  <si>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</si>
  <si>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</si>
  <si>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</si>
  <si>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</si>
  <si>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</si>
  <si>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</si>
  <si>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</si>
  <si>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</si>
  <si>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</si>
  <si>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</si>
  <si>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</si>
  <si>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</si>
  <si>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</si>
  <si>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</si>
  <si>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</si>
  <si>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</si>
  <si>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</si>
  <si>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</si>
  <si>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</si>
  <si>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</si>
  <si>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</si>
  <si>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</si>
  <si>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</si>
  <si>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</si>
  <si>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</si>
  <si>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</si>
  <si>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</si>
  <si>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</si>
  <si>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</si>
  <si>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</si>
  <si>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</si>
  <si>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</si>
  <si>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</si>
  <si>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</si>
  <si>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</si>
  <si>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</si>
  <si>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</si>
  <si>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</si>
  <si>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</si>
  <si>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</si>
  <si>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</si>
  <si>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</si>
  <si>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</si>
  <si>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</si>
  <si>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</si>
  <si>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</si>
  <si>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</si>
  <si>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</si>
  <si>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</si>
  <si>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</si>
  <si>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</si>
  <si>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</si>
  <si>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</si>
  <si>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</si>
  <si>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</si>
  <si>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</si>
  <si>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</si>
  <si>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</si>
  <si>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</si>
  <si>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</si>
  <si>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</si>
  <si>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</si>
  <si>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</si>
  <si>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</si>
  <si>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</si>
  <si>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</si>
  <si>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</si>
  <si>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</si>
  <si>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</si>
  <si>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</si>
  <si>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</si>
  <si>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</si>
  <si>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</si>
  <si>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</si>
  <si>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</si>
  <si>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</si>
  <si>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</si>
  <si>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</si>
  <si>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</si>
  <si>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</si>
  <si>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</si>
  <si>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</si>
  <si>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</si>
  <si>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</si>
  <si>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</si>
  <si>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</si>
  <si>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</si>
  <si>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</si>
  <si>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</si>
  <si>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</si>
  <si>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</si>
  <si>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</si>
  <si>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</si>
  <si>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</si>
  <si>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</si>
  <si>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</si>
  <si>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</si>
  <si>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</si>
  <si>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</si>
  <si>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</si>
  <si>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</si>
  <si>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</si>
  <si>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</si>
  <si>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</si>
  <si>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</si>
  <si>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</si>
  <si>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</si>
  <si>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</si>
  <si>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</si>
  <si>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</si>
  <si>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</si>
  <si>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</si>
  <si>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</si>
  <si>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</si>
  <si>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</si>
  <si>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</si>
  <si>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</si>
  <si>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</si>
  <si>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</si>
  <si>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</si>
  <si>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</si>
  <si>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</si>
  <si>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</si>
  <si>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</si>
  <si>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</si>
  <si>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</si>
  <si>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</si>
  <si>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</si>
  <si>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</si>
  <si>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</si>
  <si>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</si>
  <si>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</si>
  <si>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</si>
  <si>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</si>
  <si>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</si>
  <si>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</si>
  <si>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</si>
  <si>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</si>
  <si>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</si>
  <si>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</si>
  <si>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</si>
  <si>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</si>
  <si>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</si>
  <si>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</si>
  <si>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</si>
  <si>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</si>
  <si>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</si>
  <si>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</si>
  <si>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</si>
  <si>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</si>
  <si>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</si>
  <si>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</si>
  <si>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</si>
  <si>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</si>
  <si>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</si>
  <si>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</si>
  <si>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</si>
  <si>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</si>
  <si>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</si>
  <si>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</si>
  <si>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</si>
  <si>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</si>
  <si>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</si>
  <si>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</si>
  <si>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</si>
  <si>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</si>
  <si>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</si>
  <si>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</si>
  <si>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</si>
  <si>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</si>
  <si>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</si>
  <si>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</si>
  <si>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</si>
  <si>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</si>
  <si>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</si>
  <si>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</si>
  <si>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</si>
  <si>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</si>
  <si>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</si>
  <si>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</si>
  <si>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</si>
  <si>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</si>
  <si>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</si>
  <si>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</si>
  <si>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</si>
  <si>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</si>
  <si>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</si>
  <si>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</si>
  <si>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</si>
  <si>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</si>
  <si>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</si>
  <si>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</si>
  <si>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</si>
  <si>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</si>
  <si>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</si>
  <si>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</si>
  <si>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</si>
  <si>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</si>
  <si>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</si>
  <si>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</si>
  <si>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</si>
  <si>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</si>
  <si>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</si>
  <si>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</si>
  <si>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</si>
  <si>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</si>
  <si>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</si>
  <si>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</si>
  <si>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</si>
  <si>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</si>
  <si>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</si>
  <si>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</si>
  <si>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</si>
  <si>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</si>
  <si>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</si>
  <si>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</si>
  <si>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</si>
  <si>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</si>
  <si>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</si>
  <si>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</si>
  <si>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</si>
  <si>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</si>
  <si>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</si>
  <si>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</si>
  <si>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</si>
  <si>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</si>
  <si>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</si>
  <si>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</si>
  <si>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</si>
  <si>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</si>
  <si>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</si>
  <si>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</si>
  <si>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</si>
  <si>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</si>
  <si>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</si>
  <si>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</si>
  <si>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</si>
  <si>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</si>
  <si>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</si>
  <si>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</si>
  <si>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</si>
  <si>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</si>
  <si>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</si>
  <si>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</si>
  <si>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</si>
  <si>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</si>
  <si>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</si>
  <si>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</si>
  <si>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</si>
  <si>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</si>
  <si>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</si>
  <si>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</si>
  <si>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</si>
  <si>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</si>
  <si>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</si>
  <si>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</si>
  <si>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</si>
  <si>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</si>
  <si>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</si>
  <si>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</si>
  <si>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</si>
  <si>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</si>
  <si>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</si>
  <si>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</si>
  <si>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</si>
  <si>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</si>
  <si>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</si>
  <si>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</si>
  <si>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</si>
  <si>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</si>
  <si>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</si>
  <si>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</si>
  <si>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</si>
  <si>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</si>
  <si>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</si>
  <si>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</si>
  <si>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</si>
  <si>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</si>
  <si>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</si>
  <si>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</si>
  <si>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</si>
  <si>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</si>
  <si>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</si>
  <si>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</si>
  <si>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</si>
  <si>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</si>
  <si>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</si>
  <si>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</si>
  <si>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</si>
  <si>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</si>
  <si>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</si>
  <si>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</si>
  <si>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</si>
  <si>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</si>
  <si>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</si>
  <si>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</si>
  <si>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</si>
  <si>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</si>
  <si>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</si>
  <si>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</si>
  <si>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</si>
  <si>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</si>
  <si>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</si>
  <si>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</si>
  <si>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</si>
  <si>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</si>
  <si>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</si>
  <si>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</si>
  <si>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</si>
  <si>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</si>
  <si>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</si>
  <si>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</si>
  <si>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</si>
  <si>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</si>
  <si>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</si>
  <si>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</si>
  <si>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</si>
  <si>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</si>
  <si>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</si>
  <si>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</si>
  <si>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</si>
  <si>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</si>
  <si>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</si>
  <si>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</si>
  <si>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</si>
  <si>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</si>
  <si>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</si>
  <si>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</si>
  <si>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</si>
  <si>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</si>
  <si>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</si>
  <si>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</si>
  <si>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</si>
  <si>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</si>
  <si>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</si>
  <si>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</si>
  <si>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</si>
  <si>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</si>
  <si>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</si>
  <si>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</si>
  <si>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</si>
  <si>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</si>
  <si>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</si>
  <si>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</si>
  <si>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</si>
  <si>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</si>
  <si>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</si>
  <si>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</si>
  <si>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</si>
  <si>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</si>
  <si>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</si>
  <si>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</si>
  <si>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</si>
  <si>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</si>
  <si>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</si>
  <si>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</si>
  <si>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</si>
  <si>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</si>
  <si>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</si>
  <si>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</si>
  <si>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</si>
  <si>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</si>
  <si>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</si>
  <si>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</si>
  <si>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</si>
  <si>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</si>
  <si>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</si>
  <si>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</si>
  <si>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</si>
  <si>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</si>
  <si>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</si>
  <si>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</si>
  <si>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</si>
  <si>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</si>
  <si>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</si>
  <si>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</si>
  <si>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</si>
  <si>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</si>
  <si>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</si>
  <si>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</si>
  <si>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</si>
  <si>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</si>
  <si>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</si>
  <si>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</si>
  <si>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</si>
  <si>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</si>
  <si>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</si>
  <si>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</si>
  <si>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</si>
  <si>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</si>
  <si>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</si>
  <si>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</si>
  <si>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</si>
  <si>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</si>
  <si>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</si>
  <si>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</si>
  <si>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</si>
  <si>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</si>
  <si>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</si>
  <si>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</si>
  <si>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</si>
  <si>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</si>
  <si>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</si>
  <si>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</si>
  <si>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</si>
  <si>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</si>
  <si>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</si>
  <si>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</si>
  <si>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</si>
  <si>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</si>
  <si>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</si>
  <si>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</si>
  <si>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</si>
  <si>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</si>
  <si>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</si>
  <si>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</si>
  <si>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</si>
  <si>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</si>
  <si>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</si>
  <si>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</si>
  <si>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</si>
  <si>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</si>
  <si>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</si>
  <si>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</si>
  <si>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</si>
  <si>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</si>
  <si>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</si>
  <si>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</si>
  <si>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</si>
  <si>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</si>
  <si>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</si>
  <si>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</si>
  <si>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</si>
  <si>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</si>
  <si>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</si>
  <si>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</si>
  <si>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</si>
  <si>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</si>
  <si>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</si>
  <si>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</si>
  <si>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</si>
  <si>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</si>
  <si>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</si>
  <si>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</si>
  <si>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</si>
  <si>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</si>
  <si>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</si>
  <si>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</si>
  <si>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</si>
  <si>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</si>
  <si>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</si>
  <si>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</si>
  <si>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</si>
  <si>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</si>
  <si>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</si>
  <si>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</si>
  <si>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</si>
  <si>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</si>
  <si>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</si>
  <si>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</si>
  <si>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</si>
  <si>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</si>
  <si>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</si>
  <si>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</si>
  <si>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</si>
  <si>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</si>
  <si>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</si>
  <si>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</si>
  <si>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</si>
  <si>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</si>
  <si>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</si>
  <si>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</si>
  <si>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</si>
  <si>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</si>
  <si>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</si>
  <si>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</si>
  <si>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</si>
  <si>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</si>
  <si>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</si>
  <si>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</si>
  <si>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</si>
  <si>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</si>
  <si>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</si>
  <si>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</si>
  <si>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</si>
  <si>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</si>
  <si>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</si>
  <si>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</si>
  <si>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</si>
  <si>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</si>
  <si>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</si>
  <si>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</si>
  <si>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</si>
  <si>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</si>
  <si>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</si>
  <si>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</si>
  <si>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</si>
  <si>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</si>
  <si>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</si>
  <si>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</si>
  <si>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</si>
  <si>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</si>
  <si>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</si>
  <si>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</si>
  <si>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</si>
  <si>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</si>
  <si>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</si>
  <si>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</si>
  <si>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</si>
  <si>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</si>
  <si>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</si>
  <si>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</si>
  <si>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</si>
  <si>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</si>
  <si>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</si>
  <si>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</si>
  <si>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</si>
  <si>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</si>
  <si>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</si>
  <si>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</si>
  <si>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</si>
  <si>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</si>
  <si>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</si>
  <si>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</si>
  <si>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</si>
  <si>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</si>
  <si>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</si>
  <si>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</si>
  <si>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</si>
  <si>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</si>
  <si>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</si>
  <si>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</si>
  <si>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</si>
  <si>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</si>
  <si>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</si>
  <si>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</si>
  <si>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</si>
  <si>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</si>
  <si>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</si>
  <si>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</si>
  <si>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</si>
  <si>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</si>
  <si>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</si>
  <si>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</si>
  <si>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</si>
  <si>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</si>
  <si>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</si>
  <si>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</si>
  <si>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</si>
  <si>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</si>
  <si>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</si>
  <si>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</si>
  <si>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</si>
  <si>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</si>
  <si>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</si>
  <si>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</si>
  <si>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</si>
  <si>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</si>
  <si>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</si>
  <si>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</si>
  <si>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</si>
  <si>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</si>
  <si>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</si>
  <si>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</si>
  <si>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</si>
  <si>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</si>
  <si>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</si>
  <si>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</si>
  <si>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</si>
  <si>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</si>
  <si>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</si>
  <si>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</si>
  <si>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</si>
  <si>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</si>
  <si>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</si>
  <si>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</si>
  <si>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</si>
  <si>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</si>
  <si>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</si>
  <si>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</si>
  <si>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</si>
  <si>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</si>
  <si>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</si>
  <si>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</si>
  <si>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</si>
  <si>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</si>
  <si>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</si>
  <si>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</si>
  <si>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</si>
  <si>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</si>
  <si>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</si>
  <si>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</si>
  <si>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</si>
  <si>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</si>
  <si>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</si>
  <si>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</si>
  <si>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</si>
  <si>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</si>
  <si>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</si>
  <si>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</si>
  <si>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</si>
  <si>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</si>
  <si>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</si>
  <si>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</si>
  <si>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</si>
  <si>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</si>
  <si>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</si>
  <si>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</si>
  <si>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</si>
  <si>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</si>
  <si>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</si>
  <si>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</si>
  <si>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</si>
  <si>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</si>
  <si>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</si>
  <si>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</si>
  <si>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</si>
  <si>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</si>
  <si>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</si>
  <si>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</si>
  <si>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</si>
  <si>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</si>
  <si>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</si>
  <si>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</si>
  <si>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</si>
  <si>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</si>
  <si>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</si>
  <si>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</si>
  <si>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</si>
  <si>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</si>
  <si>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</si>
  <si>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</si>
  <si>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</si>
  <si>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</si>
  <si>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</si>
  <si>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</si>
  <si>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</si>
  <si>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</si>
  <si>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</si>
  <si>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</si>
  <si>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</si>
  <si>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</si>
  <si>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</si>
  <si>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</si>
  <si>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</si>
  <si>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</si>
  <si>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</si>
  <si>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</si>
  <si>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</si>
  <si>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</si>
  <si>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</si>
  <si>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</si>
  <si>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</si>
  <si>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</si>
  <si>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</si>
  <si>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</si>
  <si>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</si>
  <si>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</si>
  <si>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</si>
  <si>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</si>
  <si>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</si>
  <si>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</si>
  <si>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</si>
  <si>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</si>
  <si>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</si>
  <si>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</si>
  <si>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</si>
  <si>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</si>
  <si>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</si>
  <si>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</si>
  <si>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</si>
  <si>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</si>
  <si>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</si>
  <si>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</si>
  <si>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</si>
  <si>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</si>
  <si>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</si>
  <si>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</si>
  <si>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</si>
  <si>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</si>
  <si>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</si>
  <si>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</si>
  <si>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</si>
  <si>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</si>
  <si>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</si>
  <si>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</si>
  <si>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</si>
  <si>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</si>
  <si>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</si>
  <si>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</si>
  <si>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</si>
  <si>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</si>
  <si>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</si>
  <si>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</si>
  <si>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</si>
  <si>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</si>
  <si>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</si>
  <si>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</si>
  <si>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</si>
  <si>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</si>
  <si>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</si>
  <si>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</si>
  <si>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</si>
  <si>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</si>
  <si>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</si>
  <si>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</si>
  <si>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</si>
  <si>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</si>
  <si>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</si>
  <si>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</si>
  <si>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</si>
  <si>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</si>
  <si>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</si>
  <si>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</si>
  <si>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</si>
  <si>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</si>
  <si>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</si>
  <si>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</si>
  <si>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</si>
  <si>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</si>
  <si>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</si>
  <si>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</si>
  <si>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</si>
  <si>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</si>
  <si>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</si>
  <si>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</si>
  <si>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</si>
  <si>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</si>
  <si>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</si>
  <si>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</si>
  <si>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</si>
  <si>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</si>
  <si>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</si>
  <si>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</si>
  <si>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</si>
  <si>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</si>
  <si>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</si>
  <si>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</si>
  <si>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</si>
  <si>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</si>
  <si>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</si>
  <si>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</si>
  <si>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</si>
  <si>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</si>
  <si>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</si>
  <si>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</si>
  <si>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</si>
  <si>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</si>
  <si>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</si>
  <si>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</si>
  <si>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</si>
  <si>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</si>
  <si>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</si>
  <si>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</si>
  <si>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</si>
  <si>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</si>
  <si>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</si>
  <si>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</si>
  <si>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</si>
  <si>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</si>
  <si>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</si>
  <si>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</si>
  <si>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</si>
  <si>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</si>
  <si>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</si>
  <si>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</si>
  <si>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</si>
  <si>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</si>
  <si>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</si>
  <si>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</si>
  <si>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</si>
  <si>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</si>
  <si>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</si>
  <si>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</si>
  <si>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</si>
  <si>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</si>
  <si>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</si>
  <si>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</si>
  <si>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</si>
  <si>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</si>
  <si>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</si>
  <si>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</si>
  <si>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</si>
  <si>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</si>
  <si>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</si>
  <si>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</si>
  <si>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</si>
  <si>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</si>
  <si>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</si>
  <si>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</si>
  <si>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</si>
  <si>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</si>
  <si>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</si>
  <si>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</si>
  <si>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</si>
  <si>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</si>
  <si>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</si>
  <si>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</si>
  <si>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</si>
  <si>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</si>
  <si>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</si>
  <si>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</si>
  <si>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</si>
  <si>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</si>
  <si>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</si>
  <si>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</si>
  <si>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</si>
  <si>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</si>
  <si>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</si>
  <si>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</si>
  <si>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</si>
  <si>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</si>
  <si>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</si>
  <si>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</si>
  <si>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</si>
  <si>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</si>
  <si>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</si>
  <si>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</si>
  <si>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</si>
  <si>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</si>
  <si>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</si>
  <si>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</si>
  <si>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</si>
  <si>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</si>
  <si>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</si>
  <si>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</si>
  <si>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</si>
  <si>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</si>
  <si>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</si>
  <si>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</si>
  <si>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</si>
  <si>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</si>
  <si>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</si>
  <si>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</si>
  <si>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</si>
  <si>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</si>
  <si>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</si>
  <si>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</si>
  <si>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</si>
  <si>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</si>
  <si>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</si>
  <si>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</si>
  <si>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</si>
  <si>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</si>
  <si>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</si>
  <si>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</si>
  <si>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</si>
  <si>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</si>
  <si>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</si>
  <si>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</si>
  <si>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</si>
  <si>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</si>
  <si>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</si>
  <si>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</si>
  <si>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</si>
  <si>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</si>
  <si>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</si>
  <si>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</si>
  <si>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</si>
  <si>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</si>
  <si>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</si>
  <si>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</si>
  <si>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</si>
  <si>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</si>
  <si>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</si>
  <si>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</si>
  <si>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</si>
  <si>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</si>
  <si>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</si>
  <si>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</si>
  <si>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</si>
  <si>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</si>
  <si>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</si>
  <si>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</si>
  <si>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</si>
  <si>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</si>
  <si>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</si>
  <si>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</si>
  <si>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</si>
  <si>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</si>
  <si>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</si>
  <si>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</si>
  <si>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</si>
  <si>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</si>
  <si>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</si>
  <si>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</si>
  <si>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</si>
  <si>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</si>
  <si>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</si>
  <si>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</si>
  <si>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</si>
  <si>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</si>
  <si>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</si>
  <si>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</si>
  <si>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</si>
  <si>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</si>
  <si>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</si>
  <si>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</si>
  <si>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</si>
  <si>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</si>
  <si>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</si>
  <si>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</si>
  <si>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</si>
  <si>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</si>
  <si>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</si>
  <si>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</si>
  <si>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</si>
  <si>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</si>
  <si>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</si>
  <si>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</si>
  <si>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</si>
  <si>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</si>
  <si>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</si>
  <si>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</si>
  <si>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</si>
  <si>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</si>
  <si>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</si>
  <si>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</si>
  <si>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</si>
  <si>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</si>
  <si>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</si>
  <si>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</si>
  <si>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</si>
  <si>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</si>
  <si>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</si>
  <si>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</si>
  <si>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</si>
  <si>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</si>
  <si>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</si>
  <si>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</si>
  <si>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</si>
  <si>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</si>
  <si>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</si>
  <si>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</si>
  <si>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</si>
  <si>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</si>
  <si>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</si>
  <si>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</si>
  <si>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</si>
  <si>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</si>
  <si>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</si>
  <si>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</si>
  <si>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</si>
  <si>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</si>
  <si>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</si>
  <si>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</si>
  <si>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</si>
  <si>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</si>
  <si>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</si>
  <si>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</si>
  <si>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</si>
  <si>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</si>
  <si>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</si>
  <si>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</si>
  <si>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</si>
  <si>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</si>
  <si>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</si>
  <si>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</si>
  <si>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</si>
  <si>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</si>
  <si>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</si>
  <si>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</si>
  <si>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</si>
  <si>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</si>
  <si>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</si>
  <si>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</si>
  <si>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</si>
  <si>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</si>
  <si>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</si>
  <si>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</si>
  <si>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</si>
  <si>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</si>
  <si>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</si>
  <si>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</si>
  <si>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</si>
  <si>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</si>
  <si>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</si>
  <si>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</si>
  <si>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</si>
  <si>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</si>
  <si>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</si>
  <si>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</si>
  <si>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</si>
  <si>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</si>
  <si>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</si>
  <si>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</si>
  <si>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</si>
  <si>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</si>
  <si>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</si>
  <si>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</si>
  <si>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</si>
  <si>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</si>
  <si>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</si>
  <si>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</si>
  <si>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</si>
  <si>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</si>
  <si>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</si>
  <si>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</si>
  <si>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</si>
  <si>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</si>
  <si>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</si>
  <si>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</si>
  <si>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</si>
  <si>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</si>
  <si>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</si>
  <si>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</si>
  <si>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</si>
  <si>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</si>
  <si>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</si>
  <si>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</si>
  <si>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</si>
  <si>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</si>
  <si>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</si>
  <si>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</si>
  <si>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</si>
  <si>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</si>
  <si>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</si>
  <si>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</si>
  <si>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</si>
  <si>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</si>
  <si>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</si>
  <si>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</si>
  <si>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</si>
  <si>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</si>
  <si>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</si>
  <si>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</si>
  <si>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</si>
  <si>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</si>
  <si>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</si>
  <si>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</si>
  <si>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</si>
  <si>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</si>
  <si>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</si>
  <si>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</si>
  <si>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</si>
  <si>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</si>
  <si>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</si>
  <si>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</si>
  <si>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</si>
  <si>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</si>
  <si>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</si>
  <si>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</si>
  <si>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</si>
  <si>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</si>
  <si>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</si>
  <si>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</si>
  <si>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</si>
  <si>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</si>
  <si>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</si>
  <si>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</si>
  <si>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</si>
  <si>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</si>
  <si>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</si>
  <si>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</si>
  <si>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</si>
  <si>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</si>
  <si>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</si>
  <si>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</si>
  <si>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</si>
  <si>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</si>
  <si>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</si>
  <si>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</si>
  <si>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</si>
  <si>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</si>
  <si>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</si>
  <si>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</si>
  <si>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</si>
  <si>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</si>
  <si>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</si>
  <si>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</si>
  <si>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</si>
  <si>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</si>
  <si>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</si>
  <si>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</si>
  <si>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</si>
  <si>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</si>
  <si>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</si>
  <si>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</si>
  <si>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</si>
  <si>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</si>
  <si>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</si>
  <si>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</si>
  <si>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</si>
  <si>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</si>
  <si>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</si>
  <si>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</si>
  <si>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</si>
  <si>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</si>
  <si>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</si>
  <si>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</si>
  <si>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</si>
  <si>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</si>
  <si>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</si>
  <si>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</si>
  <si>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</si>
  <si>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</si>
  <si>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</si>
  <si>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</si>
  <si>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</si>
  <si>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</si>
  <si>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</si>
  <si>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</si>
  <si>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</si>
  <si>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</si>
  <si>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</si>
  <si>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</si>
  <si>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</si>
  <si>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</si>
  <si>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</si>
  <si>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</si>
  <si>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</si>
  <si>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</si>
  <si>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</si>
  <si>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</si>
  <si>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</si>
  <si>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</si>
  <si>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</si>
  <si>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</si>
  <si>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</si>
  <si>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</si>
  <si>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</si>
  <si>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</si>
  <si>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</si>
  <si>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</si>
  <si>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</si>
  <si>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</si>
  <si>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</si>
  <si>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</si>
  <si>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</si>
  <si>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</si>
  <si>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</si>
  <si>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</si>
  <si>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</si>
  <si>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</si>
  <si>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</si>
  <si>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</si>
  <si>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</si>
  <si>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</si>
  <si>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</si>
  <si>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</si>
  <si>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</si>
  <si>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</si>
  <si>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</si>
  <si>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</si>
  <si>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</si>
  <si>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</si>
  <si>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</si>
  <si>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</si>
  <si>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</si>
  <si>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</si>
  <si>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</si>
  <si>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</si>
  <si>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</si>
  <si>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</si>
  <si>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</si>
  <si>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</si>
  <si>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</si>
  <si>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</si>
  <si>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</si>
  <si>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</si>
  <si>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</si>
  <si>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</si>
  <si>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</si>
  <si>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</si>
  <si>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</si>
  <si>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</si>
  <si>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</si>
  <si>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</si>
  <si>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</si>
  <si>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</si>
  <si>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</si>
  <si>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</si>
  <si>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</si>
  <si>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</si>
  <si>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</si>
  <si>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</si>
  <si>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</si>
  <si>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</si>
  <si>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</si>
  <si>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</si>
  <si>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</si>
  <si>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</si>
  <si>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</si>
  <si>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</si>
  <si>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</si>
  <si>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</si>
  <si>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</si>
  <si>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</si>
  <si>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</si>
  <si>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</si>
  <si>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</si>
  <si>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</si>
  <si>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</si>
  <si>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</si>
  <si>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</si>
  <si>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</si>
  <si>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</si>
  <si>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</si>
  <si>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</si>
  <si>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</si>
  <si>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</si>
  <si>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</si>
  <si>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</si>
  <si>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</si>
  <si>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</si>
  <si>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</si>
  <si>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</si>
  <si>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</si>
  <si>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</si>
  <si>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</si>
  <si>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</si>
  <si>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</si>
  <si>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</si>
  <si>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</si>
  <si>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</si>
  <si>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</si>
  <si>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</si>
  <si>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</si>
  <si>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</si>
  <si>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</si>
  <si>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</si>
  <si>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</si>
  <si>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</si>
  <si>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</si>
  <si>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</si>
  <si>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</si>
  <si>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</si>
  <si>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</si>
  <si>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</si>
  <si>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</si>
  <si>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</si>
  <si>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</si>
  <si>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</si>
  <si>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</si>
  <si>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</si>
  <si>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</si>
  <si>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</si>
  <si>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</si>
  <si>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</si>
  <si>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</si>
  <si>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</si>
  <si>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</si>
  <si>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</si>
  <si>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</si>
  <si>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</si>
  <si>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</si>
  <si>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</si>
  <si>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</si>
  <si>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</si>
  <si>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</si>
  <si>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</si>
  <si>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</si>
  <si>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</si>
  <si>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</si>
  <si>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</si>
  <si>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</si>
  <si>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</si>
  <si>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</si>
  <si>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</si>
  <si>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</si>
  <si>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</si>
  <si>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</si>
  <si>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</si>
  <si>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</si>
  <si>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</si>
  <si>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</si>
  <si>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</si>
  <si>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</si>
  <si>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</si>
  <si>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</si>
  <si>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</si>
  <si>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</si>
  <si>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</si>
  <si>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</si>
  <si>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</si>
  <si>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</si>
  <si>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</si>
  <si>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</si>
  <si>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</si>
  <si>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</si>
  <si>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</si>
  <si>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</si>
  <si>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</si>
  <si>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</si>
  <si>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</si>
  <si>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</si>
  <si>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</si>
  <si>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</si>
  <si>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</si>
  <si>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</si>
  <si>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</si>
  <si>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</si>
  <si>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</si>
  <si>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</si>
  <si>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</si>
  <si>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</si>
  <si>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</si>
  <si>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</si>
  <si>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</si>
  <si>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</si>
  <si>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</si>
  <si>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</si>
  <si>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</si>
  <si>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</si>
  <si>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</si>
  <si>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</si>
  <si>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</si>
  <si>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</si>
  <si>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</si>
  <si>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</si>
  <si>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</si>
  <si>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</si>
  <si>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</si>
  <si>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</si>
  <si>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</si>
  <si>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</si>
  <si>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</si>
  <si>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</si>
  <si>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</si>
  <si>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</si>
  <si>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</si>
  <si>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</si>
  <si>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</si>
  <si>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</si>
  <si>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</si>
  <si>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</si>
  <si>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</si>
  <si>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</si>
  <si>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</si>
  <si>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</si>
  <si>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</si>
  <si>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</si>
  <si>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</si>
  <si>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</si>
  <si>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</si>
  <si>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</si>
  <si>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</si>
  <si>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</si>
  <si>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</si>
  <si>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</si>
  <si>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</si>
  <si>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</si>
  <si>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</si>
  <si>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</si>
  <si>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</si>
  <si>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</si>
  <si>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</si>
  <si>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</si>
  <si>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</si>
  <si>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</si>
  <si>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</si>
  <si>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</si>
  <si>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</si>
  <si>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</si>
  <si>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</si>
  <si>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</si>
  <si>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</si>
  <si>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</si>
  <si>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</si>
  <si>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</si>
  <si>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</si>
  <si>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</si>
  <si>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</si>
  <si>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</si>
  <si>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</si>
  <si>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</si>
  <si>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</si>
  <si>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</si>
  <si>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</si>
  <si>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</si>
  <si>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</si>
  <si>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</si>
  <si>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</si>
  <si>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</si>
  <si>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</si>
  <si>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</si>
  <si>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</si>
  <si>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</si>
  <si>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</si>
  <si>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</si>
  <si>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</si>
  <si>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</si>
  <si>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</si>
  <si>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</si>
  <si>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</si>
  <si>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</si>
  <si>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</si>
  <si>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</si>
  <si>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</si>
  <si>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</si>
  <si>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</si>
  <si>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</si>
  <si>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</si>
  <si>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</si>
  <si>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</si>
  <si>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</si>
  <si>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</si>
  <si>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</si>
  <si>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</si>
  <si>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</si>
  <si>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</si>
  <si>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</si>
  <si>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</si>
  <si>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</si>
  <si>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</si>
  <si>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</si>
  <si>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</si>
  <si>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</si>
  <si>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</si>
  <si>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</si>
  <si>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</si>
  <si>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</si>
  <si>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</si>
  <si>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</si>
  <si>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</si>
  <si>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</si>
  <si>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</si>
  <si>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</si>
  <si>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</si>
  <si>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</si>
  <si>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</si>
  <si>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</si>
  <si>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</si>
  <si>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</si>
  <si>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</si>
  <si>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</si>
  <si>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</si>
  <si>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</si>
  <si>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</si>
  <si>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</si>
  <si>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</si>
  <si>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</si>
  <si>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</si>
  <si>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</si>
  <si>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</si>
  <si>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</si>
  <si>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</si>
  <si>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</si>
  <si>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</si>
  <si>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</si>
  <si>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</si>
  <si>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</si>
  <si>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</si>
  <si>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</si>
  <si>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</si>
  <si>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</si>
  <si>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</si>
  <si>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</si>
  <si>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</si>
  <si>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</si>
  <si>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</si>
  <si>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</si>
  <si>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</si>
  <si>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</si>
  <si>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</si>
  <si>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</si>
  <si>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</si>
  <si>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</si>
  <si>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</si>
  <si>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</si>
  <si>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</si>
  <si>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</si>
  <si>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</si>
  <si>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</si>
  <si>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</si>
  <si>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</si>
  <si>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</si>
  <si>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</si>
  <si>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</si>
  <si>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</si>
  <si>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</si>
  <si>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</si>
  <si>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</si>
  <si>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</si>
  <si>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</si>
  <si>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</si>
  <si>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</si>
  <si>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</si>
  <si>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</si>
  <si>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</si>
  <si>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</si>
  <si>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</si>
  <si>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</si>
  <si>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</si>
  <si>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</si>
  <si>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</si>
  <si>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</si>
  <si>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</si>
  <si>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</si>
  <si>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</si>
  <si>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</si>
  <si>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</si>
  <si>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</si>
  <si>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</si>
  <si>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</si>
  <si>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</si>
  <si>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</si>
  <si>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</si>
  <si>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</si>
  <si>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</si>
  <si>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</si>
  <si>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</si>
  <si>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</si>
  <si>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</si>
  <si>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</si>
  <si>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</si>
  <si>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</si>
  <si>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</si>
  <si>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</si>
  <si>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</si>
  <si>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</si>
  <si>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</si>
  <si>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</si>
  <si>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</si>
  <si>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</si>
  <si>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</si>
  <si>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</si>
  <si>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</si>
  <si>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</si>
  <si>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</si>
  <si>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</si>
  <si>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</si>
  <si>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</si>
  <si>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</si>
  <si>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</si>
  <si>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</si>
  <si>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</si>
  <si>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</si>
  <si>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</si>
  <si>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</si>
  <si>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</si>
  <si>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</si>
  <si>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</si>
  <si>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</si>
  <si>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</si>
  <si>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</si>
  <si>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</si>
  <si>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</si>
  <si>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</si>
  <si>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</si>
  <si>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</si>
  <si>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</si>
  <si>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</si>
  <si>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</si>
  <si>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</si>
  <si>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</si>
  <si>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</si>
  <si>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</si>
  <si>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</si>
  <si>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</si>
  <si>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</si>
  <si>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</si>
  <si>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</si>
  <si>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</si>
  <si>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</si>
  <si>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</si>
  <si>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</si>
  <si>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</si>
  <si>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</si>
  <si>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</si>
  <si>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</si>
  <si>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</si>
  <si>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</si>
  <si>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</si>
  <si>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</si>
  <si>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</si>
  <si>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</si>
  <si>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</si>
  <si>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</si>
  <si>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</si>
  <si>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</si>
  <si>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</si>
  <si>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</si>
  <si>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</si>
  <si>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</si>
  <si>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</si>
  <si>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</si>
  <si>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</si>
  <si>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</si>
  <si>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</si>
  <si>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</si>
  <si>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</si>
  <si>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</si>
  <si>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</si>
  <si>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</si>
  <si>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</si>
  <si>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</si>
  <si>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</si>
  <si>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</si>
  <si>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</si>
  <si>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</si>
  <si>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</si>
  <si>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</si>
  <si>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</si>
  <si>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</si>
  <si>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</si>
  <si>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</si>
  <si>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</si>
  <si>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</si>
  <si>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</si>
  <si>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</si>
  <si>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</si>
  <si>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</si>
  <si>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</si>
  <si>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</si>
  <si>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</si>
  <si>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</si>
  <si>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</si>
  <si>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</si>
  <si>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</si>
  <si>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</si>
  <si>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</si>
  <si>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</si>
  <si>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</si>
  <si>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</si>
  <si>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</si>
  <si>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</si>
  <si>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</si>
  <si>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</si>
  <si>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</si>
  <si>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</si>
  <si>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</si>
  <si>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</si>
  <si>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</si>
  <si>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</si>
  <si>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</si>
  <si>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</si>
  <si>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</si>
  <si>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</si>
  <si>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</si>
  <si>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</si>
  <si>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</si>
  <si>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</si>
  <si>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</si>
  <si>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</si>
  <si>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</si>
  <si>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</si>
  <si>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</si>
  <si>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</si>
  <si>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</si>
  <si>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</si>
  <si>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</si>
  <si>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</si>
  <si>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</si>
  <si>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</si>
  <si>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</si>
  <si>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</si>
  <si>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</si>
  <si>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</si>
  <si>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</si>
  <si>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</si>
  <si>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</si>
  <si>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</si>
  <si>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</si>
  <si>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</si>
  <si>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</si>
  <si>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</si>
  <si>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</si>
  <si>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</si>
  <si>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</si>
  <si>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</si>
  <si>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</si>
  <si>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</si>
  <si>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</si>
  <si>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</si>
  <si>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</si>
  <si>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</si>
  <si>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</si>
  <si>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</si>
  <si>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</si>
  <si>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</si>
  <si>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</si>
  <si>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</si>
  <si>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</si>
  <si>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</si>
  <si>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</si>
  <si>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</si>
  <si>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</si>
  <si>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</si>
  <si>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</si>
  <si>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</si>
  <si>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</si>
  <si>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</si>
  <si>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</si>
  <si>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</si>
  <si>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</si>
  <si>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</si>
  <si>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</si>
  <si>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</si>
  <si>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</si>
  <si>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</si>
  <si>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</si>
  <si>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</si>
  <si>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</si>
  <si>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</si>
  <si>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</si>
  <si>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</si>
  <si>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</si>
  <si>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</si>
  <si>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</si>
  <si>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</si>
  <si>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</si>
  <si>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</si>
  <si>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</si>
  <si>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</si>
  <si>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</si>
  <si>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</si>
  <si>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</si>
  <si>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</si>
  <si>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</si>
  <si>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</si>
  <si>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</si>
  <si>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</si>
  <si>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</si>
  <si>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</si>
  <si>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</si>
  <si>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</si>
  <si>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</si>
  <si>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</si>
  <si>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</si>
  <si>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</si>
  <si>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</si>
  <si>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</si>
  <si>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</si>
  <si>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</si>
  <si>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</si>
  <si>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</si>
  <si>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</si>
  <si>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</si>
  <si>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</si>
  <si>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</si>
  <si>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</si>
  <si>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</si>
  <si>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</si>
  <si>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</si>
  <si>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</si>
  <si>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</si>
  <si>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</si>
  <si>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</si>
  <si>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</si>
  <si>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</si>
  <si>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</si>
  <si>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</si>
  <si>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</si>
  <si>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</si>
  <si>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</si>
  <si>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</si>
  <si>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</si>
  <si>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</si>
  <si>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</si>
  <si>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</si>
  <si>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</si>
  <si>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</si>
  <si>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</si>
  <si>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</si>
  <si>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</si>
  <si>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</si>
  <si>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</si>
  <si>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</si>
  <si>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</si>
  <si>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</si>
  <si>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</si>
  <si>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</si>
  <si>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</si>
  <si>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</si>
  <si>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</si>
  <si>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</si>
  <si>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</si>
  <si>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</si>
  <si>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</si>
  <si>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</si>
  <si>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</si>
  <si>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</si>
  <si>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</si>
  <si>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</si>
  <si>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</si>
  <si>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</si>
  <si>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</si>
  <si>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</si>
  <si>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</si>
  <si>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</si>
  <si>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</si>
  <si>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</si>
  <si>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</si>
  <si>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</si>
  <si>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</si>
  <si>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</si>
  <si>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</si>
  <si>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</si>
  <si>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</si>
  <si>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</si>
  <si>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</si>
  <si>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</si>
  <si>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</si>
  <si>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</si>
  <si>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</si>
  <si>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</si>
  <si>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</si>
  <si>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</si>
  <si>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</si>
  <si>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</si>
  <si>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</si>
  <si>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</si>
  <si>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</si>
  <si>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</si>
  <si>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</si>
  <si>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</si>
  <si>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</si>
  <si>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</si>
  <si>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</si>
  <si>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</si>
  <si>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</si>
  <si>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</si>
  <si>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</si>
  <si>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</si>
  <si>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</si>
  <si>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</si>
  <si>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</si>
  <si>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</si>
  <si>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</si>
  <si>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</si>
  <si>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</si>
  <si>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</si>
  <si>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</si>
  <si>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</si>
  <si>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</si>
  <si>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</si>
  <si>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</si>
  <si>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</si>
  <si>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</si>
  <si>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</si>
  <si>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</si>
  <si>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</si>
  <si>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</si>
  <si>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</si>
  <si>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</si>
  <si>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</si>
  <si>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</si>
  <si>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</si>
  <si>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</si>
  <si>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</si>
  <si>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</si>
  <si>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</si>
  <si>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</si>
  <si>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</si>
  <si>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</si>
  <si>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</si>
  <si>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</si>
  <si>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</si>
  <si>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</si>
  <si>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</si>
  <si>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</si>
  <si>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</si>
  <si>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</si>
  <si>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</si>
  <si>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</si>
  <si>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</si>
  <si>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</si>
  <si>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</si>
  <si>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</si>
  <si>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</si>
  <si>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</si>
  <si>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</si>
  <si>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</si>
  <si>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</si>
  <si>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</si>
  <si>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</si>
  <si>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</si>
  <si>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</si>
  <si>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</si>
  <si>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</si>
  <si>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</si>
  <si>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</si>
  <si>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</si>
  <si>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</si>
  <si>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</si>
  <si>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</si>
  <si>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</si>
  <si>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</si>
  <si>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</si>
  <si>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</si>
  <si>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</si>
  <si>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</si>
  <si>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</si>
  <si>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</si>
  <si>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</si>
  <si>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</si>
  <si>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</si>
  <si>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</si>
  <si>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</si>
  <si>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</si>
  <si>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</si>
  <si>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</si>
  <si>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</si>
  <si>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</si>
  <si>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</si>
  <si>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</si>
  <si>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</si>
  <si>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</si>
  <si>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</si>
  <si>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</si>
  <si>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</si>
  <si>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</si>
  <si>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</si>
  <si>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</si>
  <si>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</si>
  <si>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</si>
  <si>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</si>
  <si>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</si>
  <si>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</si>
  <si>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</si>
  <si>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</si>
  <si>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</si>
  <si>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</si>
  <si>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</si>
  <si>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</si>
  <si>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</si>
  <si>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</si>
  <si>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</si>
  <si>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</si>
  <si>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</si>
  <si>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</si>
  <si>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</si>
  <si>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</si>
  <si>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</si>
  <si>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</si>
  <si>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</si>
  <si>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</si>
  <si>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</si>
  <si>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</si>
  <si>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</si>
  <si>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</si>
  <si>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</si>
  <si>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</si>
  <si>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</si>
  <si>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</si>
  <si>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</si>
  <si>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</si>
  <si>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</si>
  <si>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</si>
  <si>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</si>
  <si>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</si>
  <si>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</si>
  <si>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</si>
  <si>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</si>
  <si>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</si>
  <si>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</si>
  <si>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</si>
  <si>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</si>
  <si>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</si>
  <si>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</si>
  <si>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</si>
  <si>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</si>
  <si>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</si>
  <si>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</si>
  <si>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</si>
  <si>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</si>
  <si>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</si>
  <si>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</si>
  <si>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</si>
  <si>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</si>
  <si>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</si>
  <si>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</si>
  <si>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</si>
  <si>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</si>
  <si>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</si>
  <si>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</si>
  <si>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</si>
  <si>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</si>
  <si>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</si>
  <si>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</si>
  <si>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</si>
  <si>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</si>
  <si>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</si>
  <si>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</si>
  <si>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</si>
  <si>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</si>
  <si>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</si>
  <si>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</si>
  <si>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</si>
  <si>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</si>
  <si>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</si>
  <si>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</si>
  <si>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</si>
  <si>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</si>
  <si>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</si>
  <si>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</si>
  <si>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</si>
  <si>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</si>
  <si>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</si>
  <si>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</si>
  <si>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</si>
  <si>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</si>
  <si>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</si>
  <si>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</si>
  <si>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</si>
  <si>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</si>
  <si>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</si>
  <si>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</si>
  <si>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</si>
  <si>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</si>
  <si>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</si>
  <si>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</si>
  <si>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</si>
  <si>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</si>
  <si>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</si>
  <si>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</si>
  <si>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</si>
  <si>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</si>
  <si>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</si>
  <si>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</si>
  <si>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</si>
  <si>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</si>
  <si>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</si>
  <si>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</si>
  <si>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</si>
  <si>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</si>
  <si>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</si>
  <si>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</si>
  <si>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</si>
  <si>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</si>
  <si>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</si>
  <si>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</si>
  <si>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</si>
  <si>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</si>
  <si>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</si>
  <si>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</si>
  <si>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</si>
  <si>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</si>
  <si>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</si>
  <si>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</si>
  <si>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</si>
  <si>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</si>
  <si>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</si>
  <si>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</si>
  <si>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</si>
  <si>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</si>
  <si>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</si>
  <si>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</si>
  <si>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</si>
  <si>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</si>
  <si>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</si>
  <si>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</si>
  <si>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</si>
  <si>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</si>
  <si>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</si>
  <si>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</si>
  <si>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</si>
  <si>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</si>
  <si>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</si>
  <si>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</si>
  <si>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</si>
  <si>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</si>
  <si>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</si>
  <si>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</si>
  <si>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</si>
  <si>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</si>
  <si>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</si>
  <si>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</si>
  <si>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</si>
  <si>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</si>
  <si>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</si>
  <si>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</si>
  <si>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</si>
  <si>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</si>
  <si>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</si>
  <si>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</si>
  <si>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</si>
  <si>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</si>
  <si>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</si>
  <si>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</si>
  <si>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</si>
  <si>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</si>
  <si>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</si>
  <si>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</si>
  <si>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</si>
  <si>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</si>
  <si>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</si>
  <si>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</si>
  <si>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</si>
  <si>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</si>
  <si>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</si>
  <si>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</si>
  <si>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</si>
  <si>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</si>
  <si>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</si>
  <si>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</si>
  <si>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</si>
  <si>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</si>
  <si>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</si>
  <si>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</si>
  <si>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</si>
  <si>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</si>
  <si>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</si>
  <si>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</si>
  <si>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</si>
  <si>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</si>
  <si>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</si>
  <si>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</si>
  <si>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</si>
  <si>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</si>
  <si>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</si>
  <si>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</si>
  <si>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</si>
  <si>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</si>
  <si>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</si>
  <si>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</si>
  <si>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</si>
  <si>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</si>
  <si>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</si>
  <si>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</si>
  <si>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</si>
  <si>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</si>
  <si>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</si>
  <si>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</si>
  <si>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</si>
  <si>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</si>
  <si>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</si>
  <si>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</si>
  <si>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</si>
  <si>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</si>
  <si>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</si>
  <si>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</si>
  <si>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</si>
  <si>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</si>
  <si>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</si>
  <si>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</si>
  <si>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</si>
  <si>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</si>
  <si>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</si>
  <si>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</si>
  <si>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</si>
  <si>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</si>
  <si>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</si>
  <si>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</si>
  <si>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</si>
  <si>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</si>
  <si>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</si>
  <si>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</si>
  <si>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</si>
  <si>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</si>
  <si>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</si>
  <si>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</si>
  <si>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</si>
  <si>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</si>
  <si>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</si>
  <si>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</si>
  <si>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</si>
  <si>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</si>
  <si>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</si>
  <si>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</si>
  <si>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</si>
  <si>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</si>
  <si>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</si>
  <si>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</si>
  <si>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</si>
  <si>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</si>
  <si>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</si>
  <si>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</si>
  <si>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</si>
  <si>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</si>
  <si>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</si>
  <si>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</si>
  <si>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</si>
  <si>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</si>
  <si>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</si>
  <si>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</si>
  <si>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</si>
  <si>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</si>
  <si>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</si>
  <si>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</si>
  <si>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</si>
  <si>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</si>
  <si>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</si>
  <si>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</si>
  <si>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</si>
  <si>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</si>
  <si>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</si>
  <si>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</si>
  <si>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</si>
  <si>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</si>
  <si>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</si>
  <si>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</si>
  <si>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</si>
  <si>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</si>
  <si>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</si>
  <si>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</si>
  <si>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</si>
  <si>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</si>
  <si>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</si>
  <si>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</si>
  <si>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</si>
  <si>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</si>
  <si>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</si>
  <si>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</si>
  <si>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</si>
  <si>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</si>
  <si>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</si>
  <si>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</si>
  <si>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</si>
  <si>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</si>
  <si>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</si>
  <si>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</si>
  <si>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</si>
  <si>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</si>
  <si>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</si>
  <si>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</si>
  <si>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</si>
  <si>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</si>
  <si>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</si>
  <si>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</si>
  <si>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</si>
  <si>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</si>
  <si>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</si>
  <si>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</si>
  <si>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</si>
  <si>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</si>
  <si>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</si>
  <si>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</si>
  <si>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</si>
  <si>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</si>
  <si>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</si>
  <si>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</si>
  <si>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</si>
  <si>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</si>
  <si>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</si>
  <si>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</si>
  <si>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</si>
  <si>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</si>
  <si>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</si>
  <si>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</si>
  <si>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</si>
  <si>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</si>
  <si>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</si>
  <si>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</si>
  <si>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</si>
  <si>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</si>
  <si>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</si>
  <si>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</si>
  <si>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</si>
  <si>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</si>
  <si>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</si>
  <si>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</si>
  <si>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</si>
  <si>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</si>
  <si>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</si>
  <si>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</si>
  <si>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</si>
  <si>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</si>
  <si>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</si>
  <si>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</si>
  <si>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</si>
  <si>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</si>
  <si>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</si>
  <si>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</si>
  <si>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</si>
  <si>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</si>
  <si>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</si>
  <si>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</si>
  <si>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</si>
  <si>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</si>
  <si>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</si>
  <si>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</si>
  <si>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</si>
  <si>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</si>
  <si>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</si>
  <si>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</si>
  <si>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</si>
  <si>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</si>
  <si>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</si>
  <si>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</si>
  <si>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</si>
  <si>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</si>
  <si>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</si>
  <si>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</si>
  <si>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</si>
  <si>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</si>
  <si>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</si>
  <si>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</si>
  <si>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</si>
  <si>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</si>
  <si>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</si>
  <si>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</si>
  <si>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</si>
  <si>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</si>
  <si>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</si>
  <si>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</si>
  <si>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</si>
  <si>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</si>
  <si>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</si>
  <si>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</si>
  <si>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</si>
  <si>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</si>
  <si>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</si>
  <si>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</si>
  <si>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</si>
  <si>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</si>
  <si>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</si>
  <si>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</si>
  <si>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</si>
  <si>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</si>
  <si>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</si>
  <si>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</si>
  <si>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</si>
  <si>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</si>
  <si>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</si>
  <si>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</si>
  <si>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</si>
  <si>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</si>
  <si>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</si>
  <si>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</si>
  <si>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</si>
  <si>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</si>
  <si>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</si>
  <si>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</si>
  <si>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</si>
  <si>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</si>
  <si>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</si>
  <si>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</si>
  <si>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</si>
  <si>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</si>
  <si>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</si>
  <si>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</si>
  <si>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</si>
  <si>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</si>
  <si>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</si>
  <si>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</si>
  <si>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</si>
  <si>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</si>
  <si>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</si>
  <si>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</si>
  <si>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</si>
  <si>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</si>
  <si>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</si>
  <si>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</si>
  <si>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</si>
  <si>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</si>
  <si>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</si>
  <si>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</si>
  <si>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</si>
  <si>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</si>
  <si>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</si>
  <si>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</si>
  <si>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</si>
  <si>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</si>
  <si>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</si>
  <si>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</si>
  <si>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</si>
  <si>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</si>
  <si>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</si>
  <si>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</si>
  <si>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</si>
  <si>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</si>
  <si>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</si>
  <si>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</si>
  <si>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</si>
  <si>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</si>
  <si>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</si>
  <si>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</si>
  <si>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</si>
  <si>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</si>
  <si>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</si>
  <si>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</si>
  <si>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</si>
  <si>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</si>
  <si>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</si>
  <si>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</si>
  <si>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</si>
  <si>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</si>
  <si>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</si>
  <si>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</si>
  <si>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</si>
  <si>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</si>
  <si>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</si>
  <si>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</si>
  <si>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</si>
  <si>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</si>
  <si>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</si>
  <si>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</si>
  <si>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</si>
  <si>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</si>
  <si>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</si>
  <si>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</si>
  <si>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</si>
  <si>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</si>
  <si>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</si>
  <si>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</si>
  <si>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</si>
  <si>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</si>
  <si>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</si>
  <si>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</si>
  <si>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</si>
  <si>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</si>
  <si>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</si>
  <si>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</si>
  <si>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</si>
  <si>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</si>
  <si>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</si>
  <si>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</si>
  <si>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</si>
  <si>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</si>
  <si>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</si>
  <si>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</si>
  <si>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</si>
  <si>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</si>
  <si>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</si>
  <si>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</si>
  <si>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</si>
  <si>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</si>
  <si>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</si>
  <si>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</si>
  <si>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</si>
  <si>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</si>
  <si>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</si>
  <si>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</si>
  <si>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</si>
  <si>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</si>
  <si>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</si>
  <si>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</si>
  <si>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</si>
  <si>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</si>
  <si>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</si>
  <si>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</si>
  <si>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</si>
  <si>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</si>
  <si>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</si>
  <si>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</si>
  <si>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</si>
  <si>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</si>
  <si>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</si>
  <si>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</si>
  <si>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</si>
  <si>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</si>
  <si>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</si>
  <si>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</si>
  <si>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</si>
  <si>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</si>
  <si>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</si>
  <si>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</si>
  <si>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</si>
  <si>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</si>
  <si>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</si>
  <si>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</si>
  <si>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</si>
  <si>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</si>
  <si>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</si>
  <si>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</si>
  <si>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</si>
  <si>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</si>
  <si>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</si>
  <si>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</si>
  <si>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</si>
  <si>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</si>
  <si>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</si>
  <si>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</si>
  <si>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</si>
  <si>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</si>
  <si>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</si>
  <si>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</si>
  <si>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</si>
  <si>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</si>
  <si>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</si>
  <si>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</si>
  <si>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</si>
  <si>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</si>
  <si>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</si>
  <si>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</si>
  <si>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</si>
  <si>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</si>
  <si>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</si>
  <si>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</si>
  <si>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</si>
  <si>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</si>
  <si>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</si>
  <si>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</si>
  <si>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</si>
  <si>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</si>
  <si>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</si>
  <si>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</si>
  <si>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</si>
  <si>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</si>
  <si>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</si>
  <si>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</si>
  <si>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</si>
  <si>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</si>
  <si>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</si>
  <si>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</si>
  <si>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</si>
  <si>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</si>
  <si>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</si>
  <si>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</si>
  <si>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</si>
  <si>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</si>
  <si>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</si>
  <si>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</si>
  <si>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</si>
  <si>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</si>
  <si>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</si>
  <si>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</si>
  <si>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</si>
  <si>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</si>
  <si>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</si>
  <si>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</si>
  <si>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</si>
  <si>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</si>
  <si>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</si>
  <si>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</si>
  <si>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</si>
  <si>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</si>
  <si>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</si>
  <si>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</si>
  <si>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</si>
  <si>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</si>
  <si>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</si>
  <si>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</si>
  <si>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</si>
  <si>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</si>
  <si>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</si>
  <si>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</si>
  <si>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</si>
  <si>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</si>
  <si>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</si>
  <si>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</si>
  <si>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</si>
  <si>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</si>
  <si>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</si>
  <si>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</si>
  <si>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</si>
  <si>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</si>
  <si>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</si>
  <si>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</si>
  <si>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</si>
  <si>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</si>
  <si>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</si>
  <si>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</si>
  <si>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</si>
  <si>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</si>
  <si>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</si>
  <si>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</si>
  <si>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</si>
  <si>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</si>
  <si>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</si>
  <si>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</si>
  <si>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</si>
  <si>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</si>
  <si>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</si>
  <si>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</si>
  <si>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</si>
  <si>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</si>
  <si>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</si>
  <si>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</si>
  <si>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</si>
  <si>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</si>
  <si>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</si>
  <si>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</si>
  <si>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</si>
  <si>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</si>
  <si>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</si>
  <si>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</si>
  <si>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</si>
  <si>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</si>
  <si>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</si>
  <si>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</si>
  <si>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</si>
  <si>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</si>
  <si>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</si>
  <si>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</si>
  <si>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</si>
  <si>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</si>
  <si>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</si>
  <si>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</si>
  <si>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</si>
  <si>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</si>
  <si>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</si>
  <si>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</si>
  <si>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</si>
  <si>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</si>
  <si>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</si>
  <si>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</si>
  <si>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</si>
  <si>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</si>
  <si>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</si>
  <si>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</si>
  <si>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</si>
  <si>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</si>
  <si>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</si>
  <si>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</si>
  <si>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</si>
  <si>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</si>
  <si>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</si>
  <si>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</si>
  <si>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</si>
  <si>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</si>
  <si>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</si>
  <si>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</si>
  <si>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</si>
  <si>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</si>
  <si>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</si>
  <si>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</si>
  <si>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</si>
  <si>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</si>
  <si>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</si>
  <si>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</si>
  <si>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</si>
  <si>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</si>
  <si>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</si>
  <si>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</si>
  <si>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</si>
  <si>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</si>
  <si>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</si>
  <si>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</si>
  <si>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</si>
  <si>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</si>
  <si>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</si>
  <si>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</si>
  <si>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</si>
  <si>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</si>
  <si>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</si>
  <si>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</si>
  <si>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</si>
  <si>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</si>
  <si>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</si>
  <si>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</si>
  <si>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</si>
  <si>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</si>
  <si>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</si>
  <si>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</si>
  <si>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</si>
  <si>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</si>
  <si>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</si>
  <si>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</si>
  <si>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</si>
  <si>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</si>
  <si>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</si>
  <si>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</si>
  <si>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</si>
  <si>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</si>
  <si>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</si>
  <si>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</si>
  <si>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</si>
  <si>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</si>
  <si>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</si>
  <si>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</si>
  <si>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</si>
  <si>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</si>
  <si>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</si>
  <si>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</si>
  <si>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</si>
  <si>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</si>
  <si>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</si>
  <si>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</si>
  <si>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</si>
  <si>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</si>
  <si>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</si>
  <si>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</si>
  <si>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</si>
  <si>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</si>
  <si>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</si>
  <si>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</si>
  <si>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</si>
  <si>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</si>
  <si>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</si>
  <si>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</si>
  <si>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</si>
  <si>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</si>
  <si>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</si>
  <si>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</si>
  <si>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</si>
  <si>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</si>
  <si>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</si>
  <si>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</si>
  <si>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</si>
  <si>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</si>
  <si>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</si>
  <si>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</si>
  <si>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</si>
  <si>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</si>
  <si>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</si>
  <si>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</si>
  <si>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</si>
  <si>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</si>
  <si>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</si>
  <si>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</si>
  <si>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</si>
  <si>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</si>
  <si>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</si>
  <si>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</si>
  <si>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</si>
  <si>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</si>
  <si>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</si>
  <si>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</si>
  <si>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</si>
  <si>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</si>
  <si>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</si>
  <si>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</si>
  <si>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</si>
  <si>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</si>
  <si>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</si>
  <si>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</si>
  <si>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</si>
  <si>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</si>
  <si>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</si>
  <si>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</si>
  <si>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</si>
  <si>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</si>
  <si>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</si>
  <si>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</si>
  <si>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</si>
  <si>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</si>
  <si>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</si>
  <si>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</si>
  <si>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</si>
  <si>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</si>
  <si>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</si>
  <si>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</si>
  <si>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</si>
  <si>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</si>
  <si>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</si>
  <si>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</si>
  <si>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</si>
  <si>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</si>
  <si>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</si>
  <si>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</si>
  <si>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</si>
  <si>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</si>
  <si>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</si>
  <si>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</si>
  <si>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</si>
  <si>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</si>
  <si>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</si>
  <si>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</si>
  <si>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</si>
  <si>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</si>
  <si>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</si>
  <si>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</si>
  <si>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</si>
  <si>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</si>
  <si>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</si>
  <si>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</si>
  <si>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</si>
  <si>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</si>
  <si>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</si>
  <si>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</si>
  <si>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</si>
  <si>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</si>
  <si>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</si>
  <si>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</si>
  <si>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</si>
  <si>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</si>
  <si>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</si>
  <si>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</si>
  <si>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</si>
  <si>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</si>
  <si>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</si>
  <si>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</si>
  <si>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</si>
  <si>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</si>
  <si>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</si>
  <si>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</si>
  <si>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</si>
  <si>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</si>
  <si>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</si>
  <si>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</si>
  <si>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</si>
  <si>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</si>
  <si>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</si>
  <si>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</si>
  <si>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</si>
  <si>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</si>
  <si>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</si>
  <si>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</si>
  <si>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</si>
  <si>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</si>
  <si>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</si>
  <si>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</si>
  <si>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</si>
  <si>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</si>
  <si>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</si>
  <si>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</si>
  <si>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</si>
  <si>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</si>
  <si>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</si>
  <si>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</si>
  <si>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</si>
  <si>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</si>
  <si>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</si>
  <si>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</si>
  <si>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</si>
  <si>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</si>
  <si>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</si>
  <si>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</si>
  <si>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</si>
  <si>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</si>
  <si>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</si>
  <si>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</si>
  <si>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</si>
  <si>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</si>
  <si>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</si>
  <si>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</si>
  <si>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</si>
  <si>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</si>
  <si>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</si>
  <si>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</si>
  <si>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</si>
  <si>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</si>
  <si>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</si>
  <si>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</si>
  <si>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</si>
  <si>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</si>
  <si>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</si>
  <si>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</si>
  <si>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</si>
  <si>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</si>
  <si>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</si>
  <si>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</si>
  <si>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</si>
  <si>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</si>
  <si>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</si>
  <si>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</si>
  <si>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</si>
  <si>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</si>
  <si>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</si>
  <si>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</si>
  <si>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</si>
  <si>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</si>
  <si>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</si>
  <si>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</si>
  <si>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</si>
  <si>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</si>
  <si>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</si>
  <si>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</si>
  <si>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</si>
  <si>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</si>
  <si>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</si>
  <si>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</si>
  <si>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</si>
  <si>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</si>
  <si>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</si>
  <si>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</si>
  <si>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</si>
  <si>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</si>
  <si>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</si>
  <si>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</si>
  <si>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</si>
  <si>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</si>
  <si>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</si>
  <si>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</si>
  <si>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</si>
  <si>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</si>
  <si>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</si>
  <si>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</si>
  <si>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</si>
  <si>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</si>
  <si>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</si>
  <si>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</si>
  <si>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</si>
  <si>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</si>
  <si>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</si>
  <si>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</si>
  <si>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</si>
  <si>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</si>
  <si>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</si>
  <si>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</si>
  <si>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</si>
  <si>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</si>
  <si>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</si>
  <si>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</si>
  <si>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</si>
  <si>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</si>
  <si>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</si>
  <si>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</si>
  <si>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</si>
  <si>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</si>
  <si>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</si>
  <si>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</si>
  <si>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</si>
  <si>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</si>
  <si>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</si>
  <si>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</si>
  <si>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</si>
  <si>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</si>
  <si>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</si>
  <si>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</si>
  <si>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</si>
  <si>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</si>
  <si>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</si>
  <si>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</si>
  <si>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</si>
  <si>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</si>
  <si>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</si>
  <si>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</si>
  <si>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</si>
  <si>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</si>
  <si>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</si>
  <si>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</si>
  <si>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</si>
  <si>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</si>
  <si>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</si>
  <si>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</si>
  <si>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</si>
  <si>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</si>
  <si>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</si>
  <si>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</si>
  <si>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</si>
  <si>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</si>
  <si>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</si>
  <si>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</si>
  <si>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</si>
  <si>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</si>
  <si>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</si>
  <si>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</si>
  <si>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</si>
  <si>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</si>
  <si>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</si>
  <si>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</si>
  <si>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</si>
  <si>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</si>
  <si>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</si>
  <si>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</si>
  <si>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</si>
  <si>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</si>
  <si>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</si>
  <si>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</si>
  <si>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</si>
  <si>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</si>
  <si>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</si>
  <si>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</si>
  <si>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</si>
  <si>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</si>
  <si>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</si>
  <si>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</si>
  <si>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</si>
  <si>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</si>
  <si>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</si>
  <si>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</si>
  <si>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</si>
  <si>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</si>
  <si>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</si>
  <si>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</si>
  <si>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</si>
  <si>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</si>
  <si>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</si>
  <si>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</si>
  <si>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</si>
  <si>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</si>
  <si>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</si>
  <si>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</si>
  <si>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</si>
  <si>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</si>
  <si>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</si>
  <si>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</si>
  <si>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</si>
  <si>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</si>
  <si>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</si>
  <si>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</si>
  <si>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</si>
  <si>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</si>
  <si>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</si>
  <si>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</si>
  <si>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</si>
  <si>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</si>
  <si>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</si>
  <si>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</si>
  <si>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</si>
  <si>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</si>
  <si>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</si>
  <si>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</si>
  <si>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</si>
  <si>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</si>
  <si>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</si>
  <si>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</si>
  <si>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</si>
  <si>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</si>
  <si>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</si>
  <si>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</si>
  <si>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</si>
  <si>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</si>
  <si>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</si>
  <si>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</si>
  <si>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</si>
  <si>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</si>
  <si>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</si>
  <si>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</si>
  <si>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</si>
  <si>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</si>
  <si>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</si>
  <si>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</si>
  <si>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</si>
  <si>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</si>
  <si>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</si>
  <si>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</si>
  <si>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</si>
  <si>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</si>
  <si>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</si>
  <si>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</si>
  <si>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</si>
  <si>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</si>
  <si>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</si>
  <si>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</si>
  <si>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</si>
  <si>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</si>
  <si>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</si>
  <si>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</si>
  <si>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</si>
  <si>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</si>
  <si>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</si>
  <si>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</si>
  <si>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</si>
  <si>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</si>
  <si>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</si>
  <si>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</si>
  <si>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</si>
  <si>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</si>
  <si>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</si>
  <si>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</si>
  <si>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</si>
  <si>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</si>
  <si>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</si>
  <si>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</si>
  <si>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</si>
  <si>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</si>
  <si>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</si>
  <si>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</si>
  <si>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</si>
  <si>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</si>
  <si>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</si>
  <si>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</si>
  <si>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</si>
  <si>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</si>
  <si>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</si>
  <si>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</si>
  <si>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</si>
  <si>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</si>
  <si>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</si>
  <si>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</si>
  <si>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</si>
  <si>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</si>
  <si>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</si>
  <si>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</si>
  <si>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</si>
  <si>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</si>
  <si>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</si>
  <si>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</si>
  <si>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</si>
  <si>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</si>
  <si>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</si>
  <si>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</si>
  <si>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</si>
  <si>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</si>
  <si>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</si>
  <si>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</si>
  <si>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</si>
  <si>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</si>
  <si>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</si>
  <si>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</si>
  <si>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</si>
  <si>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</si>
  <si>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</si>
  <si>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</si>
  <si>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</si>
  <si>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</si>
  <si>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</si>
  <si>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</si>
  <si>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</si>
  <si>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</si>
  <si>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</si>
  <si>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</si>
  <si>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</si>
  <si>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</si>
  <si>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</si>
  <si>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</si>
  <si>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</si>
  <si>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</si>
  <si>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</si>
  <si>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</si>
  <si>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</si>
  <si>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</si>
  <si>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</si>
  <si>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</si>
  <si>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</si>
  <si>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</si>
  <si>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</si>
  <si>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</si>
  <si>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</si>
  <si>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</si>
  <si>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</si>
  <si>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</si>
  <si>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</si>
  <si>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</si>
  <si>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</si>
  <si>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</si>
  <si>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</si>
  <si>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</si>
  <si>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</si>
  <si>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</si>
  <si>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</si>
  <si>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</si>
  <si>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</si>
  <si>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</si>
  <si>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</si>
  <si>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</si>
  <si>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</si>
  <si>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</si>
  <si>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</si>
  <si>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</si>
  <si>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</si>
  <si>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</si>
  <si>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</si>
  <si>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</si>
  <si>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</si>
  <si>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</si>
  <si>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</si>
  <si>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</si>
  <si>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</si>
  <si>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</si>
  <si>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</si>
  <si>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</si>
  <si>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</si>
  <si>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</si>
  <si>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</si>
  <si>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</si>
  <si>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</si>
  <si>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</si>
  <si>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</si>
  <si>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</si>
  <si>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</si>
  <si>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</si>
  <si>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</si>
  <si>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</si>
  <si>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</si>
  <si>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</si>
  <si>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</si>
  <si>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</si>
  <si>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</si>
  <si>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</si>
  <si>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</si>
  <si>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</si>
  <si>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</si>
  <si>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</si>
  <si>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</si>
  <si>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</si>
  <si>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</si>
  <si>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</si>
  <si>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</si>
  <si>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</si>
  <si>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</si>
  <si>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</si>
  <si>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</si>
  <si>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</si>
  <si>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</si>
  <si>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</si>
  <si>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</si>
  <si>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</si>
  <si>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</si>
  <si>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</si>
  <si>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</si>
  <si>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</si>
  <si>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</si>
  <si>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</si>
  <si>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</si>
  <si>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</si>
  <si>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</si>
  <si>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</si>
  <si>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</si>
  <si>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</si>
  <si>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</si>
  <si>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</si>
  <si>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</si>
  <si>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</si>
  <si>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</si>
  <si>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</si>
  <si>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</si>
  <si>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</si>
  <si>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</si>
  <si>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</si>
  <si>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</si>
  <si>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</si>
  <si>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</si>
  <si>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</si>
  <si>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</si>
  <si>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</si>
  <si>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</si>
  <si>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</si>
  <si>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</si>
  <si>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</si>
  <si>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</si>
  <si>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</si>
  <si>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</si>
  <si>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</si>
  <si>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</si>
  <si>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</si>
  <si>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</si>
  <si>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</si>
  <si>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</si>
  <si>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</si>
  <si>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</si>
  <si>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</si>
  <si>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</si>
  <si>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</si>
  <si>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</si>
  <si>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</si>
  <si>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</si>
  <si>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</si>
  <si>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</si>
  <si>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</si>
  <si>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</si>
  <si>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</si>
  <si>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</si>
  <si>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</si>
  <si>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</si>
  <si>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</si>
  <si>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</si>
  <si>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</si>
  <si>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</si>
  <si>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</si>
  <si>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</si>
  <si>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</si>
  <si>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</si>
  <si>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</si>
  <si>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</si>
  <si>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</si>
  <si>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</si>
  <si>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</si>
  <si>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</si>
  <si>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</si>
  <si>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</si>
  <si>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</si>
  <si>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</si>
  <si>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</si>
  <si>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</si>
  <si>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</si>
  <si>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</si>
  <si>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</si>
  <si>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</si>
  <si>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</si>
  <si>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</si>
  <si>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</si>
  <si>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</si>
  <si>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</si>
  <si>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</si>
  <si>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</si>
  <si>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</si>
  <si>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</si>
  <si>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</si>
  <si>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</si>
  <si>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</si>
  <si>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</si>
  <si>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</si>
  <si>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</si>
  <si>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</si>
  <si>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</si>
  <si>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</si>
  <si>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</si>
  <si>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</si>
  <si>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</si>
  <si>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</si>
  <si>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</si>
  <si>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</si>
  <si>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</si>
  <si>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</si>
  <si>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</si>
  <si>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</si>
  <si>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</si>
  <si>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</si>
  <si>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</si>
  <si>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</si>
  <si>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</si>
  <si>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</si>
  <si>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</si>
  <si>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</si>
  <si>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</si>
  <si>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</si>
  <si>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</si>
  <si>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</si>
  <si>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</si>
  <si>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</si>
  <si>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</si>
  <si>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</si>
  <si>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</si>
  <si>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</si>
  <si>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</si>
  <si>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</si>
  <si>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</si>
  <si>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</si>
  <si>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</si>
  <si>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</si>
  <si>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</si>
  <si>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</si>
  <si>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</si>
  <si>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</si>
  <si>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</si>
  <si>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</si>
  <si>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</si>
  <si>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</si>
  <si>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</si>
  <si>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</si>
  <si>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</si>
  <si>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</si>
  <si>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</si>
  <si>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</si>
  <si>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</si>
  <si>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</si>
  <si>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</si>
  <si>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</si>
  <si>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</si>
  <si>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</si>
  <si>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</si>
  <si>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</si>
  <si>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</si>
  <si>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</si>
  <si>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</si>
  <si>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</si>
  <si>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</si>
  <si>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</si>
  <si>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</si>
  <si>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</si>
  <si>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</si>
  <si>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</si>
  <si>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</si>
  <si>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</si>
  <si>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</si>
  <si>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</si>
  <si>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</si>
  <si>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</si>
  <si>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</si>
  <si>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</si>
  <si>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</si>
  <si>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</si>
  <si>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</si>
  <si>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</si>
  <si>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</si>
  <si>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</si>
  <si>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</si>
  <si>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</si>
  <si>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</si>
  <si>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</si>
  <si>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</si>
  <si>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</si>
  <si>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</si>
  <si>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</si>
  <si>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</si>
  <si>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</si>
  <si>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</si>
  <si>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</si>
  <si>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</si>
  <si>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</si>
  <si>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</si>
  <si>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</si>
  <si>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</si>
  <si>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</si>
  <si>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</si>
  <si>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</si>
  <si>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</si>
  <si>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</si>
  <si>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</si>
  <si>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</si>
  <si>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</si>
  <si>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</si>
  <si>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</si>
  <si>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</si>
  <si>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</si>
  <si>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</si>
  <si>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</si>
  <si>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</si>
  <si>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</si>
  <si>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</si>
  <si>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</si>
  <si>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</si>
  <si>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</si>
  <si>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</si>
  <si>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</si>
  <si>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</si>
  <si>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</si>
  <si>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</si>
  <si>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</si>
  <si>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</si>
  <si>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</si>
  <si>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</si>
  <si>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</si>
  <si>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</si>
  <si>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</si>
  <si>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</si>
  <si>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</si>
  <si>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</si>
  <si>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</si>
  <si>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</si>
  <si>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</si>
  <si>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</si>
  <si>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</si>
  <si>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</si>
  <si>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</si>
  <si>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</si>
  <si>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</si>
  <si>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</si>
  <si>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</si>
  <si>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</si>
  <si>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</si>
  <si>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</si>
  <si>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</si>
  <si>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</si>
  <si>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</si>
  <si>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</si>
  <si>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</si>
  <si>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</si>
  <si>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</si>
  <si>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</si>
  <si>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</si>
  <si>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</si>
  <si>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</si>
  <si>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</si>
  <si>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</si>
  <si>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</si>
  <si>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</si>
  <si>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</si>
  <si>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</si>
  <si>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</si>
  <si>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</si>
  <si>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</si>
  <si>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</si>
  <si>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</si>
  <si>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</si>
  <si>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</si>
  <si>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</si>
  <si>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</si>
  <si>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</si>
  <si>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</si>
  <si>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</si>
  <si>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</si>
  <si>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</si>
  <si>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</si>
  <si>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</si>
  <si>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</si>
  <si>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</si>
  <si>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</si>
  <si>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</si>
  <si>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</si>
  <si>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</si>
  <si>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</si>
  <si>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</si>
  <si>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</si>
  <si>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</si>
  <si>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</si>
  <si>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</si>
  <si>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</si>
  <si>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</si>
  <si>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</si>
  <si>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</si>
  <si>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</si>
  <si>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</si>
  <si>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</si>
  <si>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</si>
  <si>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</si>
  <si>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</si>
  <si>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</si>
  <si>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</si>
  <si>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</si>
  <si>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</si>
  <si>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</si>
  <si>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</si>
  <si>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</si>
  <si>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</si>
  <si>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</si>
  <si>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</si>
  <si>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</si>
  <si>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</si>
  <si>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</si>
  <si>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</si>
  <si>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</si>
  <si>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</si>
  <si>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</si>
  <si>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</si>
  <si>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</si>
  <si>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</si>
  <si>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</si>
  <si>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</si>
  <si>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</si>
  <si>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</si>
  <si>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</si>
  <si>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</si>
  <si>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</si>
  <si>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</si>
  <si>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</si>
  <si>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</si>
  <si>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</si>
  <si>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</si>
  <si>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</si>
  <si>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</si>
  <si>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</si>
  <si>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</si>
  <si>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</si>
  <si>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</si>
  <si>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</si>
  <si>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</si>
  <si>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</si>
  <si>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</si>
  <si>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</si>
  <si>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</si>
  <si>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</si>
  <si>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</si>
  <si>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</si>
  <si>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</si>
  <si>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</si>
  <si>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</si>
  <si>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</si>
  <si>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</si>
  <si>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</si>
  <si>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</si>
  <si>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</si>
  <si>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</si>
  <si>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</si>
  <si>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</si>
  <si>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</si>
  <si>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</si>
  <si>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</si>
  <si>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</si>
  <si>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</si>
  <si>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</si>
  <si>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</si>
  <si>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</si>
  <si>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</si>
  <si>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</si>
  <si>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</si>
  <si>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</si>
  <si>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</si>
  <si>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</si>
  <si>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</si>
  <si>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</si>
  <si>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</si>
  <si>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</si>
  <si>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</si>
  <si>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</si>
  <si>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</si>
  <si>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</si>
  <si>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</si>
  <si>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</si>
  <si>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</si>
  <si>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</si>
  <si>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</si>
  <si>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</si>
  <si>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</si>
  <si>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</si>
  <si>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</si>
  <si>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</si>
  <si>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</si>
  <si>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</si>
  <si>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</si>
  <si>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</si>
  <si>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</si>
  <si>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</si>
  <si>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</si>
  <si>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</si>
  <si>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</si>
  <si>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</si>
  <si>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</si>
  <si>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</si>
  <si>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</si>
  <si>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</si>
  <si>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</si>
  <si>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</si>
  <si>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</si>
  <si>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</si>
  <si>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</si>
  <si>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</si>
  <si>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</si>
  <si>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</si>
  <si>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</si>
  <si>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</si>
  <si>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</si>
  <si>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</si>
  <si>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</si>
  <si>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</si>
  <si>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</si>
  <si>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</si>
  <si>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</si>
  <si>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</si>
  <si>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</si>
  <si>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</si>
  <si>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</si>
  <si>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</si>
  <si>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</si>
  <si>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</si>
  <si>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</si>
  <si>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</si>
  <si>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</si>
  <si>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</si>
  <si>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</si>
  <si>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</si>
  <si>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</si>
  <si>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</si>
  <si>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</si>
  <si>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</si>
  <si>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</si>
  <si>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</si>
  <si>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</si>
  <si>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</si>
  <si>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</si>
  <si>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</si>
  <si>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</si>
  <si>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</si>
  <si>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</si>
  <si>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</si>
  <si>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</si>
  <si>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</si>
  <si>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</si>
  <si>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</si>
  <si>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</si>
  <si>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</si>
  <si>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</si>
  <si>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</si>
  <si>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</si>
  <si>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</si>
  <si>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</si>
  <si>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</si>
  <si>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</si>
  <si>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</si>
  <si>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</si>
  <si>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</si>
  <si>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</si>
  <si>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</si>
  <si>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</si>
  <si>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</si>
  <si>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</si>
  <si>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</si>
  <si>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</si>
  <si>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</si>
  <si>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</si>
  <si>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</si>
  <si>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</si>
  <si>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</si>
  <si>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</si>
  <si>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</si>
  <si>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</si>
  <si>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</si>
  <si>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</si>
  <si>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</si>
  <si>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</si>
  <si>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</si>
  <si>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</si>
  <si>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</si>
  <si>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</si>
  <si>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</si>
  <si>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</si>
  <si>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</si>
  <si>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</si>
  <si>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</si>
  <si>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</si>
  <si>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</si>
  <si>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</si>
  <si>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</si>
  <si>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</si>
  <si>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</si>
  <si>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</si>
  <si>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</si>
  <si>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</si>
  <si>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</si>
  <si>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</si>
  <si>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</si>
  <si>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</si>
  <si>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</si>
  <si>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</si>
  <si>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</si>
  <si>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</si>
  <si>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</si>
  <si>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</si>
  <si>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</si>
  <si>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</si>
  <si>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</si>
  <si>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</si>
  <si>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</si>
  <si>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</si>
  <si>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</si>
  <si>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</si>
  <si>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</si>
  <si>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</si>
  <si>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</si>
  <si>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</si>
  <si>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</si>
  <si>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</si>
  <si>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</si>
  <si>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</si>
  <si>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</si>
  <si>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</si>
  <si>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</si>
  <si>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</si>
  <si>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</si>
  <si>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</si>
  <si>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</si>
  <si>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</si>
  <si>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</si>
  <si>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</si>
  <si>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</si>
  <si>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</si>
  <si>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</si>
  <si>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</si>
  <si>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</si>
  <si>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</si>
  <si>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</si>
  <si>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</si>
  <si>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</si>
  <si>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</si>
  <si>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</si>
  <si>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</si>
  <si>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</si>
  <si>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</si>
  <si>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</si>
  <si>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</si>
  <si>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</si>
  <si>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</si>
  <si>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</si>
  <si>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</si>
  <si>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</si>
  <si>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</si>
  <si>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</si>
  <si>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</si>
  <si>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</si>
  <si>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</si>
  <si>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</si>
  <si>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</si>
  <si>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</si>
  <si>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</si>
  <si>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</si>
  <si>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</si>
  <si>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</si>
  <si>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</si>
  <si>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</si>
  <si>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</si>
  <si>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</si>
  <si>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</si>
  <si>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</si>
  <si>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</si>
  <si>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</si>
  <si>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</si>
  <si>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</si>
  <si>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</si>
  <si>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</si>
  <si>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</si>
  <si>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</si>
  <si>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</si>
  <si>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</si>
  <si>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</si>
  <si>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</si>
  <si>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</si>
  <si>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</si>
  <si>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</si>
  <si>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</si>
  <si>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</si>
  <si>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</si>
  <si>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</si>
  <si>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</si>
  <si>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</si>
  <si>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</si>
  <si>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</si>
  <si>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</si>
  <si>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</si>
  <si>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</si>
  <si>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</si>
  <si>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</si>
  <si>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</si>
  <si>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</si>
  <si>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</si>
  <si>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</si>
  <si>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</si>
  <si>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</si>
  <si>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</si>
  <si>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</si>
  <si>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</si>
  <si>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</si>
  <si>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</si>
  <si>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</si>
  <si>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</si>
  <si>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</si>
  <si>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</si>
  <si>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</si>
  <si>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</si>
  <si>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</si>
  <si>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</si>
  <si>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</si>
  <si>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</si>
  <si>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</si>
  <si>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</si>
  <si>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</si>
  <si>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</si>
  <si>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</si>
  <si>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</si>
  <si>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</si>
  <si>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</si>
  <si>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</si>
  <si>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</si>
  <si>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</si>
  <si>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</si>
  <si>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</si>
  <si>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</si>
  <si>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</si>
  <si>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</si>
  <si>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</si>
  <si>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</si>
  <si>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</si>
  <si>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</si>
  <si>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</si>
  <si>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</si>
  <si>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</si>
  <si>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</si>
  <si>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</si>
  <si>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</si>
  <si>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</si>
  <si>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</si>
  <si>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</si>
  <si>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</si>
  <si>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</si>
  <si>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</si>
  <si>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</si>
  <si>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</si>
  <si>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</si>
  <si>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</si>
  <si>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</si>
  <si>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</si>
  <si>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</si>
  <si>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</si>
  <si>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</si>
  <si>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</si>
  <si>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</si>
  <si>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</si>
  <si>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</si>
  <si>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</si>
  <si>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</si>
  <si>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</si>
  <si>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</si>
  <si>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</si>
  <si>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</si>
  <si>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</si>
  <si>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</si>
  <si>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</si>
  <si>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</si>
  <si>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</si>
  <si>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</si>
  <si>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</si>
  <si>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</si>
  <si>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</si>
  <si>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</si>
  <si>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</si>
  <si>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</si>
  <si>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</si>
  <si>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</si>
  <si>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</si>
  <si>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</si>
  <si>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</si>
  <si>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</si>
  <si>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</si>
  <si>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</si>
  <si>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</si>
  <si>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</si>
  <si>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</si>
  <si>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</si>
  <si>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</si>
  <si>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</si>
  <si>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</si>
  <si>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</si>
  <si>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</si>
  <si>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</si>
  <si>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</si>
  <si>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</si>
  <si>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</si>
  <si>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</si>
  <si>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</si>
  <si>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</si>
  <si>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</si>
  <si>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</si>
  <si>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</si>
  <si>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</si>
  <si>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</si>
  <si>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</si>
  <si>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</si>
  <si>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</si>
  <si>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</si>
  <si>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</si>
  <si>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</si>
  <si>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</si>
  <si>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</si>
  <si>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</si>
  <si>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</si>
  <si>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</si>
  <si>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</si>
  <si>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</si>
  <si>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</si>
  <si>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</si>
  <si>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</si>
  <si>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</si>
  <si>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</si>
  <si>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</si>
  <si>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</si>
  <si>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</si>
  <si>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</si>
  <si>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</si>
  <si>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</si>
  <si>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</si>
  <si>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</si>
  <si>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</si>
  <si>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</si>
  <si>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</si>
  <si>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</si>
  <si>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</si>
  <si>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</si>
  <si>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</si>
  <si>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</si>
  <si>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</si>
  <si>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</si>
  <si>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</si>
  <si>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</si>
  <si>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</si>
  <si>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</si>
  <si>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</si>
  <si>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</si>
  <si>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</si>
  <si>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</si>
  <si>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</si>
  <si>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</si>
  <si>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</si>
  <si>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</si>
  <si>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</si>
  <si>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</si>
  <si>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</si>
  <si>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</si>
  <si>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</si>
  <si>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</si>
  <si>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</si>
  <si>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</si>
  <si>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</si>
  <si>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</si>
  <si>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</si>
  <si>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</si>
  <si>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</si>
  <si>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</si>
  <si>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</si>
  <si>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</si>
  <si>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</si>
  <si>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</si>
  <si>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</si>
  <si>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</si>
  <si>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</si>
  <si>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</si>
  <si>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</si>
  <si>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</si>
  <si>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</si>
  <si>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</si>
  <si>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</si>
  <si>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</si>
  <si>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</si>
  <si>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</si>
  <si>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</si>
  <si>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</si>
  <si>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</si>
  <si>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</si>
  <si>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</si>
  <si>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</si>
  <si>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</si>
  <si>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</si>
  <si>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</si>
  <si>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</si>
  <si>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</si>
  <si>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</si>
  <si>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</si>
  <si>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</si>
  <si>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</si>
  <si>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</si>
  <si>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</si>
  <si>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</si>
  <si>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</si>
  <si>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</si>
  <si>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</si>
  <si>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</si>
  <si>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</si>
  <si>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</si>
  <si>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</si>
  <si>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</si>
  <si>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</si>
  <si>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</si>
  <si>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</si>
  <si>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</si>
  <si>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</si>
  <si>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</si>
  <si>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</si>
  <si>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</si>
  <si>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</si>
  <si>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</si>
  <si>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</si>
  <si>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</si>
  <si>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</si>
  <si>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</si>
  <si>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</si>
  <si>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</si>
  <si>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</si>
  <si>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</si>
  <si>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</si>
  <si>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</si>
  <si>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</si>
  <si>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</si>
  <si>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</si>
  <si>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</si>
  <si>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</si>
  <si>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</si>
  <si>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</si>
  <si>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</si>
  <si>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</si>
  <si>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</si>
  <si>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</si>
  <si>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</si>
  <si>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</si>
  <si>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</si>
  <si>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</si>
  <si>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</si>
  <si>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</si>
  <si>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</si>
  <si>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</si>
  <si>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</si>
  <si>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</si>
  <si>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</si>
  <si>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</si>
  <si>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</si>
  <si>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</si>
  <si>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</si>
  <si>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</si>
  <si>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</si>
  <si>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</si>
  <si>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</si>
  <si>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</si>
  <si>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</si>
  <si>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</si>
  <si>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</si>
  <si>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</si>
  <si>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</si>
  <si>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</si>
  <si>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</si>
  <si>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</si>
  <si>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</si>
  <si>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</si>
  <si>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</si>
  <si>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</si>
  <si>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</si>
  <si>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</si>
  <si>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</si>
  <si>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</si>
  <si>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</si>
  <si>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</si>
  <si>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</si>
  <si>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</si>
  <si>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</si>
  <si>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</si>
  <si>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</si>
  <si>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</si>
  <si>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</si>
  <si>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</si>
  <si>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</si>
  <si>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</si>
  <si>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</si>
  <si>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</si>
  <si>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</si>
  <si>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</si>
  <si>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</si>
  <si>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</si>
  <si>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</si>
  <si>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</si>
  <si>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</si>
  <si>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</si>
  <si>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</si>
  <si>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</si>
  <si>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</si>
  <si>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</si>
  <si>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</si>
  <si>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</si>
  <si>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</si>
  <si>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</si>
  <si>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</si>
  <si>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</si>
  <si>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</si>
  <si>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</si>
  <si>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</si>
  <si>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</si>
  <si>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</si>
  <si>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</si>
  <si>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</si>
  <si>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</si>
  <si>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</si>
  <si>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</si>
  <si>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</si>
  <si>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</si>
  <si>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</si>
  <si>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</si>
  <si>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</si>
  <si>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</si>
  <si>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</si>
  <si>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</si>
  <si>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</si>
  <si>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</si>
  <si>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</si>
  <si>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</si>
  <si>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</si>
  <si>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</si>
  <si>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</si>
  <si>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</si>
  <si>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</si>
  <si>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</si>
  <si>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</si>
  <si>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</si>
  <si>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</si>
  <si>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</si>
  <si>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</si>
  <si>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</si>
  <si>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</si>
  <si>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</si>
  <si>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</si>
  <si>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</si>
  <si>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</si>
  <si>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</si>
  <si>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</si>
  <si>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</si>
  <si>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</si>
  <si>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</si>
  <si>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</si>
  <si>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</si>
  <si>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</si>
  <si>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</si>
  <si>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</si>
  <si>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</si>
  <si>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</si>
  <si>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</si>
  <si>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</si>
  <si>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</si>
  <si>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</si>
  <si>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</si>
  <si>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</si>
  <si>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</si>
  <si>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</si>
  <si>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</si>
  <si>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</si>
  <si>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</si>
  <si>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</si>
  <si>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</si>
  <si>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</si>
  <si>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</si>
  <si>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</si>
  <si>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</si>
  <si>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</si>
  <si>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</si>
  <si>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</si>
  <si>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</si>
  <si>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</si>
  <si>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</si>
  <si>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</si>
  <si>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</si>
  <si>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</si>
  <si>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</si>
  <si>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</si>
  <si>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</si>
  <si>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</si>
  <si>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</si>
  <si>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</si>
  <si>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</si>
  <si>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</si>
  <si>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</si>
  <si>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</si>
  <si>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</si>
  <si>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</si>
  <si>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</si>
  <si>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</si>
  <si>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</si>
  <si>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</si>
  <si>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</si>
  <si>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</si>
  <si>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</si>
  <si>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</si>
  <si>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</si>
  <si>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</si>
  <si>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</si>
  <si>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</si>
  <si>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</si>
  <si>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</si>
  <si>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</si>
  <si>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</si>
  <si>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</si>
  <si>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</si>
  <si>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</si>
  <si>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</si>
  <si>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</si>
  <si>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</si>
  <si>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</si>
  <si>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</si>
  <si>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</si>
  <si>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</si>
  <si>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</si>
  <si>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</si>
  <si>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</si>
  <si>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</si>
  <si>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</si>
  <si>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</si>
  <si>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</si>
  <si>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</si>
  <si>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</si>
  <si>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</si>
  <si>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</si>
  <si>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</si>
  <si>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</si>
  <si>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</si>
  <si>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</si>
  <si>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</si>
  <si>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</si>
  <si>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</si>
  <si>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</si>
  <si>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</si>
  <si>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</si>
  <si>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</si>
  <si>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</si>
  <si>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</si>
  <si>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</si>
  <si>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</si>
  <si>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</si>
  <si>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</si>
  <si>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</si>
  <si>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</si>
  <si>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</si>
  <si>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</si>
  <si>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</si>
  <si>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</si>
  <si>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</si>
  <si>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</si>
  <si>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</si>
  <si>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</si>
  <si>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</si>
  <si>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</si>
  <si>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</si>
  <si>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</si>
  <si>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</si>
  <si>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</si>
  <si>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</si>
  <si>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</si>
  <si>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</si>
  <si>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</si>
  <si>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</si>
  <si>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</si>
  <si>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</si>
  <si>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</si>
  <si>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</si>
  <si>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</si>
  <si>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</si>
  <si>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</si>
  <si>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</si>
  <si>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</si>
  <si>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</si>
  <si>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</si>
  <si>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</si>
  <si>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</si>
  <si>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</si>
  <si>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</si>
  <si>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</si>
  <si>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</si>
  <si>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</si>
  <si>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</si>
  <si>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</si>
  <si>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</si>
  <si>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</si>
  <si>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</si>
  <si>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</si>
  <si>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</si>
  <si>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</si>
  <si>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</si>
  <si>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</si>
  <si>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</si>
  <si>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</si>
  <si>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</si>
  <si>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</si>
  <si>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</si>
  <si>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</si>
  <si>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</si>
  <si>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</si>
  <si>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</si>
  <si>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</si>
  <si>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</si>
  <si>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</si>
  <si>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</si>
  <si>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</si>
  <si>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</si>
  <si>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</si>
  <si>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</si>
  <si>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</si>
  <si>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</si>
  <si>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</si>
  <si>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</si>
  <si>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</si>
  <si>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</si>
  <si>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</si>
  <si>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</si>
  <si>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</si>
  <si>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</si>
  <si>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</si>
  <si>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</si>
  <si>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</si>
  <si>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</si>
  <si>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</si>
  <si>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</si>
  <si>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</si>
  <si>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</si>
  <si>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</si>
  <si>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</si>
  <si>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</si>
  <si>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</si>
  <si>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</si>
  <si>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</si>
  <si>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</si>
  <si>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</si>
  <si>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</si>
  <si>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</si>
  <si>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</si>
  <si>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</si>
  <si>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</si>
  <si>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</si>
  <si>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</si>
  <si>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</si>
  <si>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</si>
  <si>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</si>
  <si>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</si>
  <si>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</si>
  <si>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</si>
  <si>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</si>
  <si>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</si>
  <si>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</si>
  <si>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</si>
  <si>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</si>
  <si>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</si>
  <si>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</si>
  <si>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</si>
  <si>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</si>
  <si>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</si>
  <si>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</si>
  <si>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</si>
  <si>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</si>
  <si>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</si>
  <si>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</si>
  <si>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</si>
  <si>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</si>
  <si>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</si>
  <si>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</si>
  <si>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</si>
  <si>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</si>
  <si>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</si>
  <si>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</si>
  <si>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</si>
  <si>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</si>
  <si>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</si>
  <si>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</si>
  <si>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</si>
  <si>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</si>
  <si>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</si>
  <si>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</si>
  <si>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</si>
  <si>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</si>
  <si>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</si>
  <si>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</si>
  <si>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</si>
  <si>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</si>
  <si>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</si>
  <si>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</si>
  <si>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</si>
  <si>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</si>
  <si>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</si>
  <si>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</si>
  <si>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</si>
  <si>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</si>
  <si>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</si>
  <si>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</si>
  <si>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</si>
  <si>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</si>
  <si>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</si>
  <si>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</si>
  <si>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</si>
  <si>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</si>
  <si>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</si>
  <si>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</si>
  <si>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</si>
  <si>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</si>
  <si>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</si>
  <si>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</si>
  <si>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</si>
  <si>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</si>
  <si>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</si>
  <si>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</si>
  <si>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</si>
  <si>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</si>
  <si>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</si>
  <si>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</si>
  <si>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</si>
  <si>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</si>
  <si>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</si>
  <si>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</si>
  <si>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</si>
  <si>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</si>
  <si>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</si>
  <si>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</si>
  <si>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</si>
  <si>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</si>
  <si>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</si>
  <si>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</si>
  <si>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</si>
  <si>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</si>
  <si>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</si>
  <si>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</si>
  <si>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</si>
  <si>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</si>
  <si>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</si>
  <si>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</si>
  <si>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</si>
  <si>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</si>
  <si>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</si>
  <si>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</si>
  <si>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</si>
  <si>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</si>
  <si>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</si>
  <si>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</si>
  <si>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</si>
  <si>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</si>
  <si>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</si>
  <si>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</si>
  <si>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</si>
  <si>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</si>
  <si>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</si>
  <si>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</si>
  <si>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</si>
  <si>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</si>
  <si>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</si>
  <si>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</si>
  <si>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</si>
  <si>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</si>
  <si>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</si>
  <si>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</si>
  <si>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</si>
  <si>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</si>
  <si>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</si>
  <si>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</si>
  <si>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</si>
  <si>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</si>
  <si>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</si>
  <si>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</si>
  <si>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</si>
  <si>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</si>
  <si>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</si>
  <si>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</si>
  <si>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</si>
  <si>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</si>
  <si>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</si>
  <si>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</si>
  <si>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</si>
  <si>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</si>
  <si>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</si>
  <si>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</si>
  <si>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</si>
  <si>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</si>
  <si>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</si>
  <si>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</si>
  <si>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</si>
  <si>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</si>
  <si>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</si>
  <si>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</si>
  <si>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</si>
  <si>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</si>
  <si>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</si>
  <si>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</si>
  <si>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</si>
  <si>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</si>
  <si>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</si>
  <si>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</si>
  <si>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</si>
  <si>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</si>
  <si>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</si>
  <si>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</si>
  <si>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</si>
  <si>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</si>
  <si>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</si>
  <si>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</si>
  <si>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</si>
  <si>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</si>
  <si>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</si>
  <si>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</si>
  <si>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</si>
  <si>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</si>
  <si>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</si>
  <si>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</si>
  <si>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</si>
  <si>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</si>
  <si>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</si>
  <si>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</si>
  <si>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</si>
  <si>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</si>
  <si>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</si>
  <si>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</si>
  <si>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</si>
  <si>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</si>
  <si>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</si>
  <si>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</si>
  <si>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</si>
  <si>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</si>
  <si>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</si>
  <si>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</si>
  <si>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</si>
  <si>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</si>
  <si>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</si>
  <si>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</si>
  <si>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</si>
  <si>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</si>
  <si>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</si>
  <si>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</si>
  <si>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</si>
  <si>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</si>
  <si>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</si>
  <si>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</si>
  <si>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</si>
  <si>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</si>
  <si>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</si>
  <si>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</si>
  <si>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</si>
  <si>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</si>
  <si>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</si>
  <si>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</si>
  <si>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</si>
  <si>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</si>
  <si>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</si>
  <si>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</si>
  <si>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</si>
  <si>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</si>
  <si>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</si>
  <si>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</si>
  <si>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</si>
  <si>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</si>
  <si>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</si>
  <si>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</si>
  <si>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</si>
  <si>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</si>
  <si>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</si>
  <si>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</si>
  <si>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</si>
  <si>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</si>
  <si>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</si>
  <si>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</si>
  <si>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</si>
  <si>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</si>
  <si>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</si>
  <si>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</si>
  <si>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</si>
  <si>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</si>
  <si>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</si>
  <si>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</si>
  <si>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</si>
  <si>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</si>
  <si>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</si>
  <si>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</si>
  <si>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</si>
  <si>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</si>
  <si>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</si>
  <si>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</si>
  <si>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</si>
  <si>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</si>
  <si>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</si>
  <si>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</si>
  <si>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</si>
  <si>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</si>
  <si>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</si>
  <si>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</si>
  <si>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</si>
  <si>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</si>
  <si>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</si>
  <si>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</si>
  <si>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</si>
  <si>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</si>
  <si>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</si>
  <si>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</si>
  <si>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</si>
  <si>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</si>
  <si>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</si>
  <si>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</si>
  <si>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</si>
  <si>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</si>
  <si>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</si>
  <si>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</si>
  <si>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</si>
  <si>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</si>
  <si>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</si>
  <si>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</si>
  <si>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</si>
  <si>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</si>
  <si>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</si>
  <si>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</si>
  <si>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</si>
  <si>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</si>
  <si>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</si>
  <si>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</si>
  <si>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</si>
  <si>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</si>
  <si>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</si>
  <si>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</si>
  <si>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</si>
  <si>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</si>
  <si>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</si>
  <si>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</si>
  <si>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</si>
  <si>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</si>
  <si>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</si>
  <si>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</si>
  <si>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</si>
  <si>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</si>
  <si>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</si>
  <si>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</si>
  <si>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</si>
  <si>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</si>
  <si>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</si>
  <si>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</si>
  <si>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</si>
  <si>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</si>
  <si>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</si>
  <si>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</si>
  <si>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</si>
  <si>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</si>
  <si>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</si>
  <si>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</si>
  <si>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</si>
  <si>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</si>
  <si>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</si>
  <si>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</si>
  <si>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</si>
  <si>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</si>
  <si>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</si>
  <si>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</si>
  <si>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</si>
  <si>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</si>
  <si>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</si>
  <si>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</si>
  <si>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</si>
  <si>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</si>
  <si>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</si>
  <si>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</si>
  <si>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</si>
  <si>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</si>
  <si>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</si>
  <si>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</si>
  <si>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</si>
  <si>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</si>
  <si>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</si>
  <si>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</si>
  <si>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</si>
  <si>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</si>
  <si>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</si>
  <si>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</si>
  <si>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</si>
  <si>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</si>
  <si>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</si>
  <si>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</si>
  <si>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</si>
  <si>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</si>
  <si>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</si>
  <si>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</si>
  <si>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</si>
  <si>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</si>
  <si>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</si>
  <si>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</si>
  <si>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</si>
  <si>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</si>
  <si>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</si>
  <si>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</si>
  <si>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</si>
  <si>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</si>
  <si>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</si>
  <si>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</si>
  <si>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</si>
  <si>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</si>
  <si>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</si>
  <si>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</si>
  <si>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</si>
  <si>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</si>
  <si>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</si>
  <si>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</si>
  <si>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</si>
  <si>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</si>
  <si>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</si>
  <si>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</si>
  <si>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</si>
  <si>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</si>
  <si>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</si>
  <si>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</si>
  <si>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</si>
  <si>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</si>
  <si>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</si>
  <si>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</si>
  <si>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</si>
  <si>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</si>
  <si>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</si>
  <si>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</si>
  <si>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</si>
  <si>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</si>
  <si>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</si>
  <si>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</si>
  <si>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</si>
  <si>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</si>
  <si>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</si>
  <si>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</si>
  <si>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</si>
  <si>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</si>
  <si>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</si>
  <si>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</si>
  <si>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</si>
  <si>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</si>
  <si>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</si>
  <si>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</si>
  <si>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</si>
  <si>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</si>
  <si>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</si>
  <si>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</si>
  <si>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</si>
  <si>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</si>
  <si>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</si>
  <si>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</si>
  <si>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</si>
  <si>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</si>
  <si>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</si>
  <si>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</si>
  <si>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</si>
  <si>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</si>
  <si>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</si>
  <si>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</si>
  <si>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</si>
  <si>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</si>
  <si>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</si>
  <si>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</si>
  <si>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</si>
  <si>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</si>
  <si>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</si>
  <si>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</si>
  <si>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</si>
  <si>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</si>
  <si>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</si>
  <si>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</si>
  <si>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</si>
  <si>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</si>
  <si>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</si>
  <si>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</si>
  <si>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</si>
  <si>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</si>
  <si>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</si>
  <si>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</si>
  <si>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</si>
  <si>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</si>
  <si>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</si>
  <si>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</si>
  <si>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</si>
  <si>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</si>
  <si>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</si>
  <si>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</si>
  <si>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</si>
  <si>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</si>
  <si>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</si>
  <si>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</si>
  <si>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</si>
  <si>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</si>
  <si>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</si>
  <si>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</si>
  <si>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</si>
  <si>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</si>
  <si>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</si>
  <si>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</si>
  <si>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</si>
  <si>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</si>
  <si>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</si>
  <si>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</si>
  <si>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</si>
  <si>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</si>
  <si>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</si>
  <si>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</si>
  <si>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</si>
  <si>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</si>
  <si>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</si>
  <si>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</si>
  <si>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</si>
  <si>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</si>
  <si>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</si>
  <si>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</si>
  <si>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</si>
  <si>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</si>
  <si>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</si>
  <si>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</si>
  <si>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</si>
  <si>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</si>
  <si>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</si>
  <si>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</si>
  <si>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</si>
  <si>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</si>
  <si>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</si>
  <si>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</si>
  <si>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</si>
  <si>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</si>
  <si>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</si>
  <si>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</si>
  <si>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</si>
  <si>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</si>
  <si>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</si>
  <si>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</si>
  <si>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</si>
  <si>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</si>
  <si>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</si>
  <si>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</si>
  <si>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</si>
  <si>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</si>
  <si>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</si>
  <si>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</si>
  <si>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</si>
  <si>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</si>
  <si>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</si>
  <si>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</si>
  <si>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</si>
  <si>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</si>
  <si>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</si>
  <si>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</si>
  <si>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</si>
  <si>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</si>
  <si>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</si>
  <si>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</si>
  <si>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</si>
  <si>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</si>
  <si>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</si>
  <si>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</si>
  <si>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</si>
  <si>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</si>
  <si>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</si>
  <si>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</si>
  <si>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</si>
  <si>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</si>
  <si>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</si>
  <si>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</si>
  <si>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</si>
  <si>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</si>
  <si>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</si>
  <si>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</si>
  <si>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</si>
  <si>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</si>
  <si>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</si>
  <si>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</si>
  <si>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</si>
  <si>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</si>
  <si>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</si>
  <si>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</si>
  <si>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</si>
  <si>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</si>
  <si>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</si>
  <si>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</si>
  <si>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</si>
  <si>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</si>
  <si>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</si>
  <si>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</si>
  <si>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</si>
  <si>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</si>
  <si>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</si>
  <si>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</si>
  <si>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</si>
  <si>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</si>
  <si>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</si>
  <si>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</si>
  <si>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</si>
  <si>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</si>
  <si>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</si>
  <si>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</si>
  <si>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</si>
  <si>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</si>
  <si>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</si>
  <si>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</si>
  <si>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</si>
  <si>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</si>
  <si>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</si>
  <si>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</si>
  <si>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</si>
  <si>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</si>
  <si>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</si>
  <si>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</si>
  <si>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</si>
  <si>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</si>
  <si>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</si>
  <si>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</si>
  <si>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</si>
  <si>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</si>
  <si>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</si>
  <si>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</si>
  <si>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</si>
  <si>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</si>
  <si>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</si>
  <si>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</si>
  <si>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</si>
  <si>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</si>
  <si>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</si>
  <si>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</si>
  <si>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</si>
  <si>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</si>
  <si>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</si>
  <si>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</si>
  <si>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</si>
  <si>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</si>
  <si>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</si>
  <si>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</si>
  <si>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</si>
  <si>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</si>
  <si>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</si>
  <si>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</si>
  <si>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</si>
  <si>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</si>
  <si>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</si>
  <si>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</si>
  <si>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</si>
  <si>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</si>
  <si>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</si>
  <si>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</si>
  <si>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</si>
  <si>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</si>
  <si>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</si>
  <si>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</si>
  <si>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</si>
  <si>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</si>
  <si>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</si>
  <si>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</si>
  <si>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</si>
  <si>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</si>
  <si>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</si>
  <si>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</si>
  <si>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</si>
  <si>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</si>
  <si>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</si>
  <si>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</si>
  <si>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</si>
  <si>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</si>
  <si>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</si>
  <si>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</si>
  <si>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</si>
  <si>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</si>
  <si>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</si>
  <si>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</si>
  <si>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</si>
  <si>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</si>
  <si>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</si>
  <si>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</si>
  <si>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</si>
  <si>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</si>
  <si>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</si>
  <si>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</si>
  <si>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</si>
  <si>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</si>
  <si>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</si>
  <si>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</si>
  <si>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</si>
  <si>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</si>
  <si>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</si>
  <si>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</si>
  <si>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</si>
  <si>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</si>
  <si>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</si>
  <si>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</si>
  <si>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</si>
  <si>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</si>
  <si>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</si>
  <si>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</si>
  <si>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</si>
  <si>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</si>
  <si>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</si>
  <si>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</si>
  <si>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</si>
  <si>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</si>
  <si>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</si>
  <si>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</si>
  <si>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</si>
  <si>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</si>
  <si>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</si>
  <si>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</si>
  <si>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</si>
  <si>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</si>
  <si>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</si>
  <si>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</si>
  <si>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</si>
  <si>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</si>
  <si>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</si>
  <si>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</si>
  <si>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</si>
  <si>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</si>
  <si>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</si>
  <si>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</si>
  <si>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</si>
  <si>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</si>
  <si>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</si>
  <si>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</si>
  <si>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</si>
  <si>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</si>
  <si>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</si>
  <si>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</si>
  <si>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</si>
  <si>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</si>
  <si>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</si>
  <si>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</si>
  <si>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</si>
  <si>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</si>
  <si>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</si>
  <si>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</si>
  <si>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</si>
  <si>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</si>
  <si>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</si>
  <si>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</si>
  <si>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</si>
  <si>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</si>
  <si>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</si>
  <si>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</si>
  <si>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</si>
  <si>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</si>
  <si>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</si>
  <si>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</si>
  <si>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</si>
  <si>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</si>
  <si>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</si>
  <si>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</si>
  <si>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</si>
  <si>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</si>
  <si>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</si>
  <si>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</si>
  <si>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</si>
  <si>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</si>
  <si>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</si>
  <si>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</si>
  <si>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</si>
  <si>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</si>
  <si>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</si>
  <si>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</si>
  <si>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</si>
  <si>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</si>
  <si>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</si>
  <si>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</si>
  <si>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</si>
  <si>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</si>
  <si>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</si>
  <si>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</si>
  <si>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</si>
  <si>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</si>
  <si>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</si>
  <si>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</si>
  <si>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</si>
  <si>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</si>
  <si>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</si>
  <si>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</si>
  <si>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</si>
  <si>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</si>
  <si>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</si>
  <si>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</si>
  <si>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</si>
  <si>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</si>
  <si>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</si>
  <si>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</si>
  <si>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</si>
  <si>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</si>
  <si>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</si>
  <si>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</si>
  <si>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</si>
  <si>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</si>
  <si>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</si>
  <si>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</si>
  <si>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</si>
  <si>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</si>
  <si>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</si>
  <si>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</si>
  <si>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</si>
  <si>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</si>
  <si>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</si>
  <si>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</si>
  <si>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</si>
  <si>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</si>
  <si>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</si>
  <si>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</si>
  <si>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</si>
  <si>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</si>
  <si>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</si>
  <si>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</si>
  <si>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</si>
  <si>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</si>
  <si>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</si>
  <si>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</si>
  <si>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</si>
  <si>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</si>
  <si>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</si>
  <si>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</si>
  <si>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</si>
  <si>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</si>
  <si>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</si>
  <si>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</si>
  <si>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</si>
  <si>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</si>
  <si>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</si>
  <si>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</si>
  <si>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</si>
  <si>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</si>
  <si>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</si>
  <si>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</si>
  <si>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</si>
  <si>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</si>
  <si>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</si>
  <si>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</si>
  <si>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</si>
  <si>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</si>
  <si>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</si>
  <si>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</si>
  <si>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</si>
  <si>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</si>
  <si>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</si>
  <si>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</si>
  <si>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</si>
  <si>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</si>
  <si>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</si>
  <si>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</si>
  <si>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</si>
  <si>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</si>
  <si>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</si>
  <si>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</si>
  <si>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</si>
  <si>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</si>
  <si>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</si>
  <si>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</si>
  <si>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</si>
  <si>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</si>
  <si>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</si>
  <si>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</si>
  <si>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</si>
  <si>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</si>
  <si>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</si>
  <si>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</si>
  <si>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</si>
  <si>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</si>
  <si>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</si>
  <si>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</si>
  <si>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</si>
  <si>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</si>
  <si>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</si>
  <si>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</si>
  <si>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</si>
  <si>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</si>
  <si>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</si>
  <si>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</si>
  <si>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</si>
  <si>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</si>
  <si>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</si>
  <si>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</si>
  <si>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</si>
  <si>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</si>
  <si>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</si>
  <si>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</si>
  <si>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</si>
  <si>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</si>
  <si>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</si>
  <si>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</si>
  <si>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</si>
  <si>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</si>
  <si>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</si>
  <si>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</si>
  <si>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</si>
  <si>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</si>
  <si>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</si>
  <si>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</si>
  <si>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</si>
  <si>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</si>
  <si>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</si>
  <si>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</si>
  <si>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</si>
  <si>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</si>
  <si>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</si>
  <si>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</si>
  <si>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</si>
  <si>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</si>
  <si>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</si>
  <si>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</si>
  <si>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</si>
  <si>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</si>
  <si>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</si>
  <si>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</si>
  <si>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</si>
  <si>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</si>
  <si>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</si>
  <si>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</si>
  <si>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</si>
  <si>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</si>
  <si>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</si>
  <si>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</si>
  <si>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</si>
  <si>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</si>
  <si>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</si>
  <si>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</si>
  <si>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</si>
  <si>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</si>
  <si>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</si>
  <si>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</si>
  <si>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</si>
  <si>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</si>
  <si>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</si>
  <si>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</si>
  <si>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</si>
  <si>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</si>
  <si>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</si>
  <si>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</si>
  <si>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</si>
  <si>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</si>
  <si>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</si>
  <si>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</si>
  <si>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</si>
  <si>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</si>
  <si>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</si>
  <si>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</si>
  <si>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</si>
  <si>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</si>
  <si>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</si>
  <si>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</si>
  <si>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</si>
  <si>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</si>
  <si>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</si>
  <si>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</si>
  <si>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</si>
  <si>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</si>
  <si>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</si>
  <si>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</si>
  <si>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</si>
  <si>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</si>
  <si>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</si>
  <si>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</si>
  <si>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</si>
  <si>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</si>
  <si>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</si>
  <si>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</si>
  <si>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</si>
  <si>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</si>
  <si>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</si>
  <si>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</si>
  <si>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</si>
  <si>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</si>
  <si>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</si>
  <si>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</si>
  <si>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</si>
  <si>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</si>
  <si>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</si>
  <si>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</si>
  <si>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</si>
  <si>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</si>
  <si>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</si>
  <si>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</si>
  <si>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</si>
  <si>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</si>
  <si>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</si>
  <si>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</si>
  <si>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</si>
  <si>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</si>
  <si>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</si>
  <si>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</si>
  <si>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</si>
  <si>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</si>
  <si>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</si>
  <si>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</si>
  <si>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</si>
  <si>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</si>
  <si>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</si>
  <si>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</si>
  <si>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</si>
  <si>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</si>
  <si>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</si>
  <si>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</si>
  <si>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</si>
  <si>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</si>
  <si>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</si>
  <si>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</si>
  <si>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</si>
  <si>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</si>
  <si>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</si>
  <si>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</si>
  <si>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</si>
  <si>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</si>
  <si>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</si>
  <si>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</si>
  <si>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</si>
  <si>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</si>
  <si>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</si>
  <si>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</si>
  <si>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</si>
  <si>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</si>
  <si>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</si>
  <si>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</si>
  <si>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</si>
  <si>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</si>
  <si>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</si>
  <si>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</si>
  <si>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</si>
  <si>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</si>
  <si>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</si>
  <si>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</si>
  <si>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</si>
  <si>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</si>
  <si>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</si>
  <si>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</si>
  <si>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</si>
  <si>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</si>
  <si>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</si>
  <si>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</si>
  <si>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</si>
  <si>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</si>
  <si>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</si>
  <si>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</si>
  <si>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</si>
  <si>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</si>
  <si>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</si>
  <si>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</si>
  <si>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</si>
  <si>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</si>
  <si>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</si>
  <si>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</si>
  <si>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</si>
  <si>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</si>
  <si>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</si>
  <si>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</si>
  <si>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</si>
  <si>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</si>
  <si>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</si>
  <si>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</si>
  <si>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</si>
  <si>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</si>
  <si>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</si>
  <si>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</si>
  <si>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</si>
  <si>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</si>
  <si>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</si>
  <si>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</si>
  <si>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</si>
  <si>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</si>
  <si>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</si>
  <si>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</si>
  <si>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</si>
  <si>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</si>
  <si>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</si>
  <si>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</si>
  <si>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</si>
  <si>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</si>
  <si>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</si>
  <si>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</si>
  <si>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</si>
  <si>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</si>
  <si>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</si>
  <si>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</si>
  <si>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</si>
  <si>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</si>
  <si>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</si>
  <si>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</si>
  <si>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</si>
  <si>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</si>
  <si>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</si>
  <si>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</si>
  <si>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</si>
  <si>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</si>
  <si>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</si>
  <si>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</si>
  <si>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</si>
  <si>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</si>
  <si>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</si>
  <si>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</si>
  <si>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</si>
  <si>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</si>
  <si>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</si>
  <si>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</si>
  <si>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</si>
  <si>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</si>
  <si>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</si>
  <si>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</si>
  <si>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</si>
  <si>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</si>
  <si>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</si>
  <si>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</si>
  <si>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</si>
  <si>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</si>
  <si>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</si>
  <si>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</si>
  <si>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</si>
  <si>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</si>
  <si>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</si>
  <si>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</si>
  <si>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</si>
  <si>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</si>
  <si>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</si>
  <si>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</si>
  <si>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</si>
  <si>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</si>
  <si>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</si>
  <si>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</si>
  <si>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</si>
  <si>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</si>
  <si>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</si>
  <si>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</si>
  <si>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</si>
  <si>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</si>
  <si>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</si>
  <si>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</si>
  <si>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</si>
  <si>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</si>
  <si>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</si>
  <si>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</si>
  <si>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</si>
  <si>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</si>
  <si>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</si>
  <si>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</si>
  <si>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</si>
  <si>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</si>
  <si>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</si>
  <si>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</si>
  <si>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</si>
  <si>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</si>
  <si>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</si>
  <si>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</si>
  <si>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</si>
  <si>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</si>
  <si>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</si>
  <si>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</si>
  <si>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</si>
  <si>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</si>
  <si>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</si>
  <si>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</si>
  <si>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</si>
  <si>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</si>
  <si>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</si>
  <si>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</si>
  <si>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</si>
  <si>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</si>
  <si>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</si>
  <si>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</si>
  <si>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</si>
  <si>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</si>
  <si>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</si>
  <si>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</si>
  <si>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</si>
  <si>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</si>
  <si>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</si>
  <si>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</si>
  <si>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</si>
  <si>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</si>
  <si>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</si>
  <si>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</si>
  <si>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</si>
  <si>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</si>
  <si>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</si>
  <si>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</si>
  <si>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</si>
  <si>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</si>
  <si>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</si>
  <si>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</si>
  <si>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</si>
  <si>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</si>
  <si>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</si>
  <si>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</si>
  <si>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</si>
  <si>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</si>
  <si>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</si>
  <si>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</si>
  <si>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</si>
  <si>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</si>
  <si>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</si>
  <si>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</si>
  <si>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</si>
  <si>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</si>
  <si>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</si>
  <si>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</si>
  <si>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</si>
  <si>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</si>
  <si>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</si>
  <si>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</si>
  <si>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</si>
  <si>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</si>
  <si>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</si>
  <si>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</si>
  <si>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</si>
  <si>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</si>
  <si>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</si>
  <si>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</si>
  <si>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</si>
  <si>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</si>
  <si>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</si>
  <si>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</si>
  <si>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</si>
  <si>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</si>
  <si>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</si>
  <si>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</si>
  <si>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</si>
  <si>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</si>
  <si>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</si>
  <si>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</si>
  <si>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</si>
  <si>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</si>
  <si>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</si>
  <si>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</si>
  <si>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</si>
  <si>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</si>
  <si>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</si>
  <si>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</si>
  <si>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</si>
  <si>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</si>
  <si>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</si>
  <si>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</si>
  <si>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</si>
  <si>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</si>
  <si>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</si>
  <si>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</si>
  <si>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</si>
  <si>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</si>
  <si>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</si>
  <si>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</si>
  <si>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</si>
  <si>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</si>
  <si>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</si>
  <si>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</si>
  <si>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</si>
  <si>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</si>
  <si>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</si>
  <si>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</si>
  <si>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</si>
  <si>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</si>
  <si>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</si>
  <si>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</si>
  <si>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</si>
  <si>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</si>
  <si>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</si>
  <si>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</si>
  <si>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</si>
  <si>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</si>
  <si>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</si>
  <si>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</si>
  <si>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</si>
  <si>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</si>
  <si>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</si>
  <si>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</si>
  <si>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</si>
  <si>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</si>
  <si>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</si>
  <si>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</si>
  <si>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</si>
  <si>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</si>
  <si>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</si>
  <si>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</si>
  <si>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</si>
  <si>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</si>
  <si>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</si>
  <si>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</si>
  <si>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</si>
  <si>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</si>
  <si>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</si>
  <si>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</si>
  <si>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</si>
  <si>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</si>
  <si>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</si>
  <si>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</si>
  <si>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</si>
  <si>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</si>
  <si>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</si>
  <si>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</si>
  <si>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</si>
  <si>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</si>
  <si>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</si>
  <si>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</si>
  <si>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</si>
  <si>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</si>
  <si>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</si>
  <si>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</si>
  <si>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</si>
  <si>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</si>
  <si>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</si>
  <si>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</si>
  <si>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</si>
  <si>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</si>
  <si>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</si>
  <si>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</si>
  <si>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</si>
  <si>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</si>
  <si>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</si>
  <si>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</si>
  <si>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</si>
  <si>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</si>
  <si>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</si>
  <si>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</si>
  <si>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</si>
  <si>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</si>
  <si>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</si>
  <si>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</si>
  <si>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</si>
  <si>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</si>
  <si>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</si>
  <si>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</si>
  <si>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</si>
  <si>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</si>
  <si>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</si>
  <si>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</si>
  <si>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</si>
  <si>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</si>
  <si>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</si>
  <si>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</si>
  <si>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</si>
  <si>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</si>
  <si>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</si>
  <si>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</si>
  <si>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</si>
  <si>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</si>
  <si>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</si>
  <si>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</si>
  <si>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</si>
  <si>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</si>
  <si>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</si>
  <si>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</si>
  <si>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</si>
  <si>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</si>
  <si>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</si>
  <si>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</si>
  <si>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</si>
  <si>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</si>
  <si>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</si>
  <si>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</si>
  <si>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</si>
  <si>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</si>
  <si>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</si>
  <si>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</si>
  <si>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</si>
  <si>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</si>
  <si>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</si>
  <si>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</si>
  <si>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</si>
  <si>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</si>
  <si>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</si>
  <si>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</si>
  <si>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</si>
  <si>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</si>
  <si>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</si>
  <si>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</si>
  <si>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</si>
  <si>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</si>
  <si>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</si>
  <si>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</si>
  <si>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</si>
  <si>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</si>
  <si>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</si>
  <si>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</si>
  <si>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</si>
  <si>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</si>
  <si>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</si>
  <si>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</si>
  <si>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</si>
  <si>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</si>
  <si>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</si>
  <si>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</si>
  <si>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</si>
  <si>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</si>
  <si>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</si>
  <si>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</si>
  <si>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</si>
  <si>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</si>
  <si>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</si>
  <si>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</si>
  <si>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</si>
  <si>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</si>
  <si>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</si>
  <si>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</si>
  <si>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</si>
  <si>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</si>
  <si>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</si>
  <si>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</si>
  <si>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</si>
  <si>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</si>
  <si>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</si>
  <si>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</si>
  <si>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</si>
  <si>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</si>
  <si>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</si>
  <si>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</si>
  <si>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</si>
  <si>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</si>
  <si>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</si>
  <si>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</si>
  <si>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</si>
  <si>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</si>
  <si>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</si>
  <si>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</si>
  <si>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</si>
  <si>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</si>
  <si>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</si>
  <si>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</si>
  <si>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</si>
  <si>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</si>
  <si>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</si>
  <si>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</si>
  <si>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</si>
  <si>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</si>
  <si>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</si>
  <si>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</si>
  <si>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</si>
  <si>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</si>
  <si>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</si>
  <si>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</si>
  <si>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</si>
  <si>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</si>
  <si>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</si>
  <si>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</si>
  <si>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</si>
  <si>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</si>
  <si>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</si>
  <si>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</si>
  <si>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</si>
  <si>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</si>
  <si>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</si>
  <si>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</si>
  <si>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</si>
  <si>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</si>
  <si>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</si>
  <si>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</si>
  <si>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</si>
  <si>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</si>
  <si>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</si>
  <si>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</si>
  <si>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</si>
  <si>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</si>
  <si>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</si>
  <si>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</si>
  <si>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</si>
  <si>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</si>
  <si>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</si>
  <si>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</si>
  <si>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</si>
  <si>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</si>
  <si>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</si>
  <si>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</si>
  <si>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</si>
  <si>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</si>
  <si>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</si>
  <si>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</si>
  <si>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</si>
  <si>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</si>
  <si>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</si>
  <si>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</si>
  <si>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</si>
  <si>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</si>
  <si>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</si>
  <si>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</si>
  <si>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</si>
  <si>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</si>
  <si>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</si>
  <si>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</si>
  <si>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</si>
  <si>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</si>
  <si>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</si>
  <si>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</si>
  <si>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</si>
  <si>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</si>
  <si>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</si>
  <si>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</si>
  <si>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</si>
  <si>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</si>
  <si>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</si>
  <si>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</si>
  <si>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</si>
  <si>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</si>
  <si>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</si>
  <si>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</si>
  <si>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</si>
  <si>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</si>
  <si>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</si>
  <si>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</si>
  <si>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</si>
  <si>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</si>
  <si>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</si>
  <si>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</si>
  <si>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</si>
  <si>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</si>
  <si>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</si>
  <si>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</si>
  <si>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</si>
  <si>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</si>
  <si>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</si>
  <si>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</si>
  <si>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</si>
  <si>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</si>
  <si>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</si>
  <si>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</si>
  <si>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</si>
  <si>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</si>
  <si>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</si>
  <si>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</si>
  <si>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</si>
  <si>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</si>
  <si>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</si>
  <si>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</si>
  <si>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</si>
  <si>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</si>
  <si>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</si>
  <si>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</si>
  <si>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</si>
  <si>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</si>
  <si>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</si>
  <si>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</si>
  <si>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</si>
  <si>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</si>
  <si>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</si>
  <si>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</si>
  <si>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</si>
  <si>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</si>
  <si>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</si>
  <si>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</si>
  <si>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</si>
  <si>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</si>
  <si>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</si>
  <si>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</si>
  <si>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</si>
  <si>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</si>
  <si>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</si>
  <si>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</si>
  <si>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</si>
  <si>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</si>
  <si>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</si>
  <si>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</si>
  <si>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</si>
  <si>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</si>
  <si>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</si>
  <si>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</si>
  <si>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</si>
  <si>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</si>
  <si>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</si>
  <si>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</si>
  <si>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</si>
  <si>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</si>
  <si>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</si>
  <si>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</si>
  <si>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</si>
  <si>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</si>
  <si>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</si>
  <si>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</si>
  <si>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</si>
  <si>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</si>
  <si>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</si>
  <si>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</si>
  <si>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</si>
  <si>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</si>
  <si>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</si>
  <si>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</si>
  <si>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</si>
  <si>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</si>
  <si>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</si>
  <si>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</si>
  <si>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</si>
  <si>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</si>
  <si>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</si>
  <si>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</si>
  <si>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</si>
  <si>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</si>
  <si>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</si>
  <si>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</si>
  <si>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</si>
  <si>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</si>
  <si>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</si>
  <si>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</si>
  <si>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</si>
  <si>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</si>
  <si>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</si>
  <si>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</si>
  <si>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</si>
  <si>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</si>
  <si>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</si>
  <si>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</si>
  <si>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</si>
  <si>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</si>
  <si>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</si>
  <si>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</si>
  <si>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</si>
  <si>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</si>
  <si>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</si>
  <si>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</si>
  <si>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</si>
  <si>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</si>
  <si>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</si>
  <si>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</si>
  <si>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</si>
  <si>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</si>
  <si>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</si>
  <si>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</si>
  <si>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</si>
  <si>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</si>
  <si>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</si>
  <si>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</si>
  <si>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</si>
  <si>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</si>
  <si>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</si>
  <si>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</si>
  <si>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</si>
  <si>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</si>
  <si>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</si>
  <si>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</si>
  <si>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</si>
  <si>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</si>
  <si>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</si>
  <si>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</si>
  <si>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</si>
  <si>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</si>
  <si>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</si>
  <si>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</si>
  <si>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</si>
  <si>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</si>
  <si>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</si>
  <si>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</si>
  <si>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</si>
  <si>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</si>
  <si>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</si>
  <si>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</si>
  <si>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</si>
  <si>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</si>
  <si>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</si>
  <si>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</si>
  <si>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</si>
  <si>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</si>
  <si>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</si>
  <si>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</si>
  <si>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</si>
  <si>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</si>
  <si>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</si>
  <si>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</si>
  <si>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</si>
  <si>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</si>
  <si>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</si>
  <si>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</si>
  <si>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</si>
  <si>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</si>
  <si>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</si>
  <si>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</si>
  <si>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</si>
  <si>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</si>
  <si>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</si>
  <si>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</si>
  <si>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</si>
  <si>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</si>
  <si>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</si>
  <si>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</si>
  <si>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</si>
  <si>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</si>
  <si>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</si>
  <si>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</si>
  <si>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</si>
  <si>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</si>
  <si>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</si>
  <si>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</si>
  <si>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</si>
  <si>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</si>
  <si>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</si>
  <si>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</si>
  <si>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</si>
  <si>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</si>
  <si>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</si>
  <si>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</si>
  <si>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</si>
  <si>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</si>
  <si>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</si>
  <si>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</si>
  <si>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</si>
  <si>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</si>
  <si>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</si>
  <si>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</si>
  <si>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</si>
  <si>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</si>
  <si>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</si>
  <si>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</si>
  <si>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</si>
  <si>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</si>
  <si>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</si>
  <si>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</si>
  <si>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</si>
  <si>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</si>
  <si>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</si>
  <si>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</si>
  <si>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</si>
  <si>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</si>
  <si>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</si>
  <si>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</si>
  <si>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</si>
  <si>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</si>
  <si>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</si>
  <si>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</si>
  <si>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</si>
  <si>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</si>
  <si>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</si>
  <si>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</si>
  <si>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</si>
  <si>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</si>
  <si>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</si>
  <si>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</si>
  <si>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</si>
  <si>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</si>
  <si>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</si>
  <si>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</si>
  <si>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</si>
  <si>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</si>
  <si>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</si>
  <si>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</si>
  <si>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</si>
  <si>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</si>
  <si>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</si>
  <si>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</si>
  <si>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</si>
  <si>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</si>
  <si>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</si>
  <si>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</si>
  <si>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</si>
  <si>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</si>
  <si>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</si>
  <si>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</si>
  <si>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</si>
  <si>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</si>
  <si>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</si>
  <si>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</si>
  <si>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</si>
  <si>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</si>
  <si>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</si>
  <si>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</si>
  <si>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</si>
  <si>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</si>
  <si>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</si>
  <si>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</si>
  <si>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</si>
  <si>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</si>
  <si>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</si>
  <si>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</si>
  <si>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</si>
  <si>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</si>
  <si>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</si>
  <si>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</si>
  <si>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</si>
  <si>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</si>
  <si>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</si>
  <si>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</si>
  <si>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</si>
  <si>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</si>
  <si>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</si>
  <si>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</si>
  <si>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</si>
  <si>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</si>
  <si>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</si>
  <si>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</si>
  <si>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</si>
  <si>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</si>
  <si>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</si>
  <si>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</si>
  <si>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</si>
  <si>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</si>
  <si>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</si>
  <si>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</si>
  <si>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</si>
  <si>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</si>
  <si>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</si>
  <si>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</si>
  <si>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</si>
  <si>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</si>
  <si>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</si>
  <si>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</si>
  <si>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</si>
  <si>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</si>
  <si>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</si>
  <si>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</si>
  <si>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</si>
  <si>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</si>
  <si>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</si>
  <si>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</si>
  <si>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</si>
  <si>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</si>
  <si>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</si>
  <si>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</si>
  <si>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</si>
  <si>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</si>
  <si>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</si>
  <si>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</si>
  <si>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</si>
  <si>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</si>
  <si>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</si>
  <si>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</si>
  <si>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</si>
  <si>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</si>
  <si>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</si>
  <si>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</si>
  <si>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</si>
  <si>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</si>
  <si>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</si>
  <si>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</si>
  <si>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</si>
  <si>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</si>
  <si>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</si>
  <si>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</si>
  <si>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</si>
  <si>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</si>
  <si>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</si>
  <si>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</si>
  <si>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</si>
  <si>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</si>
  <si>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</si>
  <si>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</si>
  <si>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</si>
  <si>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</si>
  <si>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</si>
  <si>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</si>
  <si>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</si>
  <si>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</si>
  <si>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</si>
  <si>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</si>
  <si>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</si>
  <si>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</si>
  <si>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</si>
  <si>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</si>
  <si>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</si>
  <si>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</si>
  <si>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</si>
  <si>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</si>
  <si>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</si>
  <si>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</si>
  <si>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</si>
  <si>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</si>
  <si>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</si>
  <si>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</si>
  <si>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</si>
  <si>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</si>
  <si>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</si>
  <si>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</si>
  <si>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</si>
  <si>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</si>
  <si>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</si>
  <si>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</si>
  <si>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</si>
  <si>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</si>
  <si>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</si>
  <si>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</si>
  <si>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</si>
  <si>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</si>
  <si>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</si>
  <si>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</si>
  <si>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</si>
  <si>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</si>
  <si>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</si>
  <si>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</si>
  <si>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</si>
  <si>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</si>
  <si>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</si>
  <si>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</si>
  <si>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</si>
  <si>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</si>
  <si>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</si>
  <si>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</si>
  <si>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</si>
  <si>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</si>
  <si>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</si>
  <si>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</si>
  <si>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</si>
  <si>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</si>
  <si>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</si>
  <si>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</si>
  <si>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</si>
  <si>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</si>
  <si>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</si>
  <si>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</si>
  <si>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</si>
  <si>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</si>
  <si>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</si>
  <si>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</si>
  <si>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</si>
  <si>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</si>
  <si>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</si>
  <si>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</si>
  <si>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</si>
  <si>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</si>
  <si>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</si>
  <si>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</si>
  <si>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</si>
  <si>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</si>
  <si>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</si>
  <si>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</si>
  <si>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</si>
  <si>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</si>
  <si>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</si>
  <si>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</si>
  <si>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</si>
  <si>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</si>
  <si>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</si>
  <si>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</si>
  <si>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</si>
  <si>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</si>
  <si>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</si>
  <si>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</si>
  <si>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</si>
  <si>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</si>
  <si>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</si>
  <si>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</si>
  <si>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</si>
  <si>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</si>
  <si>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</si>
  <si>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</si>
  <si>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</si>
  <si>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</si>
  <si>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</si>
  <si>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</si>
  <si>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</si>
  <si>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</si>
  <si>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</si>
  <si>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</si>
  <si>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</si>
  <si>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</si>
  <si>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</si>
  <si>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</si>
  <si>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</si>
  <si>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</si>
  <si>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</si>
  <si>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</si>
  <si>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</si>
  <si>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</si>
  <si>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</si>
  <si>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</si>
  <si>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</si>
  <si>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</si>
  <si>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</si>
  <si>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</si>
  <si>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</si>
  <si>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</si>
  <si>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</si>
  <si>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</si>
  <si>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</si>
  <si>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</si>
  <si>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</si>
  <si>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</si>
  <si>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</si>
  <si>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</si>
  <si>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</si>
  <si>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</si>
  <si>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</si>
  <si>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</si>
  <si>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</si>
  <si>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</si>
  <si>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</si>
  <si>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</si>
  <si>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</si>
  <si>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</si>
  <si>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</si>
  <si>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</si>
  <si>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</si>
  <si>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</si>
  <si>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</si>
  <si>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</si>
  <si>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</si>
  <si>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</si>
  <si>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</si>
  <si>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</si>
  <si>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</si>
  <si>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</si>
  <si>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</si>
  <si>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</si>
  <si>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</si>
  <si>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</si>
  <si>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</si>
  <si>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</si>
  <si>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</si>
  <si>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</si>
  <si>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</si>
  <si>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</si>
  <si>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</si>
  <si>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</si>
  <si>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</si>
  <si>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</si>
  <si>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</si>
  <si>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</si>
  <si>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</si>
  <si>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</si>
  <si>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</si>
  <si>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</si>
  <si>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</si>
  <si>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</si>
  <si>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</si>
  <si>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</si>
  <si>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</si>
  <si>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</si>
  <si>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</si>
  <si>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</si>
  <si>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</si>
  <si>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</si>
  <si>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</si>
  <si>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</si>
  <si>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</si>
  <si>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</si>
  <si>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</si>
  <si>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</si>
  <si>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</si>
  <si>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</si>
  <si>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</si>
  <si>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</si>
  <si>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</si>
  <si>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</si>
  <si>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</si>
  <si>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</si>
  <si>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</si>
  <si>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</si>
  <si>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</si>
  <si>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</si>
  <si>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</si>
  <si>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</si>
  <si>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</si>
  <si>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</si>
  <si>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</si>
  <si>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</si>
  <si>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</si>
  <si>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</si>
  <si>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</si>
  <si>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</si>
  <si>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</si>
  <si>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</si>
  <si>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</si>
  <si>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</si>
  <si>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</si>
  <si>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</si>
  <si>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</si>
  <si>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</si>
  <si>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</si>
  <si>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</si>
  <si>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</si>
  <si>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</si>
  <si>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</si>
  <si>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</si>
  <si>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</si>
  <si>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</si>
  <si>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</si>
  <si>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</si>
  <si>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</si>
  <si>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</si>
  <si>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</si>
  <si>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</si>
  <si>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</si>
  <si>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</si>
  <si>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</si>
  <si>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</si>
  <si>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</si>
  <si>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</si>
  <si>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</si>
  <si>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</si>
  <si>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</si>
  <si>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</si>
  <si>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</si>
  <si>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</si>
  <si>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</si>
  <si>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</si>
  <si>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</si>
  <si>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</si>
  <si>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</si>
  <si>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</si>
  <si>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</si>
  <si>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</si>
  <si>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</si>
  <si>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</si>
  <si>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</si>
  <si>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</si>
  <si>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</si>
  <si>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</si>
  <si>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</si>
  <si>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</si>
  <si>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</si>
  <si>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</si>
  <si>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</si>
  <si>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</si>
  <si>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</si>
  <si>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</si>
  <si>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</si>
  <si>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</si>
  <si>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</si>
  <si>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</si>
  <si>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</si>
  <si>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</si>
  <si>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</si>
  <si>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</si>
  <si>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</si>
  <si>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</si>
  <si>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</si>
  <si>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</si>
  <si>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</si>
  <si>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</si>
  <si>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</si>
  <si>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</si>
  <si>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</si>
  <si>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</si>
  <si>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</si>
  <si>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</si>
  <si>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</si>
  <si>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</si>
  <si>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</si>
  <si>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</si>
  <si>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</si>
  <si>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</si>
  <si>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</si>
  <si>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</si>
  <si>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</si>
  <si>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</si>
  <si>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</si>
  <si>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</si>
  <si>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</si>
  <si>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</si>
  <si>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</si>
  <si>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</si>
  <si>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</si>
  <si>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</si>
  <si>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</si>
  <si>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</si>
  <si>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</si>
  <si>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</si>
  <si>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</si>
  <si>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</si>
  <si>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</si>
  <si>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</si>
  <si>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</si>
  <si>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</si>
  <si>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</si>
  <si>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</si>
  <si>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</si>
  <si>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</si>
  <si>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</si>
  <si>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</si>
  <si>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</si>
  <si>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</si>
  <si>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</si>
  <si>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</si>
  <si>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</si>
  <si>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</si>
  <si>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</si>
  <si>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</si>
  <si>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</si>
  <si>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</si>
  <si>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</si>
  <si>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</si>
  <si>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</si>
  <si>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</si>
  <si>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</si>
  <si>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</si>
  <si>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</si>
  <si>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</si>
  <si>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</si>
  <si>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</si>
  <si>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</si>
  <si>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</si>
  <si>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</si>
  <si>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</si>
  <si>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</si>
  <si>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</si>
  <si>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</si>
  <si>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</si>
  <si>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</si>
  <si>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</si>
  <si>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</si>
  <si>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</si>
  <si>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</si>
  <si>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</si>
  <si>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</si>
  <si>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</si>
  <si>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</si>
  <si>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</si>
  <si>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</si>
  <si>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</si>
  <si>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</si>
  <si>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</si>
  <si>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</si>
  <si>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</si>
  <si>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</si>
  <si>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</si>
  <si>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</si>
  <si>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</si>
  <si>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</si>
  <si>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</si>
  <si>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</si>
  <si>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</si>
  <si>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</si>
  <si>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</si>
  <si>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</si>
  <si>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</si>
  <si>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</si>
  <si>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</si>
  <si>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</si>
  <si>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</si>
  <si>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</si>
  <si>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</si>
  <si>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</si>
  <si>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</si>
  <si>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</si>
  <si>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</si>
  <si>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</si>
  <si>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</si>
  <si>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</si>
  <si>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</si>
  <si>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</si>
  <si>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</si>
  <si>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</si>
  <si>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</si>
  <si>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</si>
  <si>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</si>
  <si>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</si>
  <si>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</si>
  <si>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</si>
  <si>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</si>
  <si>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</si>
  <si>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</si>
  <si>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</si>
  <si>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</si>
  <si>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</si>
  <si>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</si>
  <si>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</si>
  <si>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</si>
  <si>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</si>
  <si>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</si>
  <si>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</si>
  <si>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</si>
  <si>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</si>
  <si>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</si>
  <si>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</si>
  <si>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</si>
  <si>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</si>
  <si>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</si>
  <si>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</si>
  <si>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</si>
  <si>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</si>
  <si>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</si>
  <si>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</si>
  <si>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</si>
  <si>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</si>
  <si>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</si>
  <si>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</si>
  <si>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</si>
  <si>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</si>
  <si>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</si>
  <si>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</si>
  <si>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</si>
  <si>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</si>
  <si>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</si>
  <si>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</si>
  <si>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</si>
  <si>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</si>
  <si>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</si>
  <si>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</si>
  <si>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</si>
  <si>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</si>
  <si>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</si>
  <si>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</si>
  <si>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</si>
  <si>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</si>
  <si>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</si>
  <si>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</si>
  <si>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</si>
  <si>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</si>
  <si>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</si>
  <si>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</si>
  <si>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</si>
  <si>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</si>
  <si>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</si>
  <si>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</si>
  <si>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</si>
  <si>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</si>
  <si>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</si>
  <si>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</si>
  <si>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</si>
  <si>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</si>
  <si>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</si>
  <si>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</si>
  <si>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</si>
  <si>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</si>
  <si>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</si>
  <si>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</si>
  <si>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</si>
  <si>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</si>
  <si>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</si>
  <si>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</si>
  <si>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</si>
  <si>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</si>
  <si>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</si>
  <si>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</si>
  <si>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</si>
  <si>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</si>
  <si>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</si>
  <si>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</si>
  <si>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</si>
  <si>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</si>
  <si>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</si>
  <si>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</si>
  <si>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</si>
  <si>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</si>
  <si>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</si>
  <si>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</si>
  <si>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</si>
  <si>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</si>
  <si>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</si>
  <si>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</si>
  <si>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</si>
  <si>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</si>
  <si>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</si>
  <si>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</si>
  <si>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</si>
  <si>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</si>
  <si>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</si>
  <si>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</si>
  <si>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</si>
  <si>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</si>
  <si>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</si>
  <si>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</si>
  <si>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</si>
  <si>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</si>
  <si>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</si>
  <si>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</si>
  <si>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</si>
  <si>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</si>
  <si>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</si>
  <si>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</si>
  <si>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</si>
  <si>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</si>
  <si>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</si>
  <si>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</si>
  <si>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</si>
  <si>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</si>
  <si>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</si>
  <si>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</si>
  <si>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</si>
  <si>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</si>
  <si>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</si>
  <si>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</si>
  <si>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</si>
  <si>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</si>
  <si>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</si>
  <si>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</si>
  <si>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</si>
  <si>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</si>
  <si>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</si>
  <si>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</si>
  <si>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</si>
  <si>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</si>
  <si>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</si>
  <si>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</si>
  <si>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</si>
  <si>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</si>
  <si>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</si>
  <si>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</si>
  <si>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</si>
  <si>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</si>
  <si>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</si>
  <si>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</si>
  <si>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</si>
  <si>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</si>
  <si>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</si>
  <si>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</si>
  <si>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</si>
  <si>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</si>
  <si>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</si>
  <si>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</si>
  <si>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</si>
  <si>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</si>
  <si>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</si>
  <si>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</si>
  <si>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</si>
  <si>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</si>
  <si>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</si>
  <si>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</si>
  <si>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</si>
  <si>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</si>
  <si>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</si>
  <si>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</si>
  <si>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</si>
  <si>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</si>
  <si>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</si>
  <si>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</si>
  <si>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</si>
  <si>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</si>
  <si>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</si>
  <si>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</si>
  <si>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</si>
  <si>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</si>
  <si>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</si>
  <si>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</si>
  <si>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</si>
  <si>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</si>
  <si>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</si>
  <si>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</si>
  <si>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</si>
  <si>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</si>
  <si>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</si>
  <si>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</si>
  <si>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</si>
  <si>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</si>
  <si>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</si>
  <si>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</si>
  <si>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</si>
  <si>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</si>
  <si>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</si>
  <si>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</si>
  <si>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</si>
  <si>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</si>
  <si>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</si>
  <si>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</si>
  <si>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</si>
  <si>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</si>
  <si>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</si>
  <si>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</si>
  <si>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</si>
  <si>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</si>
  <si>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</si>
  <si>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</si>
  <si>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</si>
  <si>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</si>
  <si>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</si>
  <si>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</si>
  <si>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</si>
  <si>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</si>
  <si>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</si>
  <si>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</si>
  <si>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</si>
  <si>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</si>
  <si>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</si>
  <si>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</si>
  <si>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</si>
  <si>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</si>
  <si>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</si>
  <si>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</si>
  <si>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</si>
  <si>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</si>
  <si>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</si>
  <si>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</si>
  <si>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</si>
  <si>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</si>
  <si>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</si>
  <si>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</si>
  <si>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</si>
  <si>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</si>
  <si>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</si>
  <si>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</si>
  <si>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</si>
  <si>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</si>
  <si>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</si>
  <si>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</si>
  <si>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</si>
  <si>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</si>
  <si>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</si>
  <si>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</si>
  <si>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</si>
  <si>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</si>
  <si>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</si>
  <si>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</si>
  <si>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</si>
  <si>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</si>
  <si>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</si>
  <si>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</si>
  <si>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</si>
  <si>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</si>
  <si>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</si>
  <si>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</si>
  <si>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</si>
  <si>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</si>
  <si>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</si>
  <si>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</si>
  <si>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</si>
  <si>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</si>
  <si>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</si>
  <si>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</si>
  <si>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</si>
  <si>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</si>
  <si>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</si>
  <si>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</si>
  <si>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</si>
  <si>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</si>
  <si>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</si>
  <si>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</si>
  <si>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</si>
  <si>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</si>
  <si>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</si>
  <si>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</si>
  <si>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</si>
  <si>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</si>
  <si>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</si>
  <si>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</si>
  <si>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</si>
  <si>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</si>
  <si>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</si>
  <si>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</si>
  <si>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</si>
  <si>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</si>
  <si>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</si>
  <si>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</si>
  <si>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</si>
  <si>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</si>
  <si>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</si>
  <si>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</si>
  <si>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</si>
  <si>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</si>
  <si>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</si>
  <si>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</si>
  <si>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</si>
  <si>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</si>
  <si>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</si>
  <si>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</si>
  <si>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</si>
  <si>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</si>
  <si>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</si>
  <si>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</si>
  <si>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</si>
  <si>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</si>
  <si>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</si>
  <si>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</si>
  <si>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</si>
  <si>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</si>
  <si>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</si>
  <si>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</si>
  <si>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</si>
  <si>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</si>
  <si>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</si>
  <si>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</si>
  <si>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</si>
  <si>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</si>
  <si>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</si>
  <si>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</si>
  <si>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</si>
  <si>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</si>
  <si>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</si>
  <si>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</si>
  <si>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</si>
  <si>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</si>
  <si>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</si>
  <si>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</si>
  <si>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</si>
  <si>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</si>
  <si>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</si>
  <si>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</si>
  <si>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</si>
  <si>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</si>
  <si>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</si>
  <si>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</si>
  <si>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</si>
  <si>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</si>
  <si>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</si>
  <si>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</si>
  <si>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</si>
  <si>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</si>
  <si>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</si>
  <si>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</si>
  <si>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</si>
  <si>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</si>
  <si>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</si>
  <si>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</si>
  <si>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</si>
  <si>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</si>
  <si>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</si>
  <si>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</si>
  <si>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</si>
  <si>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</si>
  <si>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</si>
  <si>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</si>
  <si>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</si>
  <si>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</si>
  <si>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</si>
  <si>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</si>
  <si>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</si>
  <si>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</si>
  <si>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</si>
  <si>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</si>
  <si>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</si>
  <si>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</si>
  <si>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</si>
  <si>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</si>
  <si>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</si>
  <si>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</si>
  <si>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</si>
  <si>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</si>
  <si>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</si>
  <si>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</si>
  <si>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</si>
  <si>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</si>
  <si>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</si>
  <si>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</si>
  <si>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</si>
  <si>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</si>
  <si>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</si>
  <si>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</si>
  <si>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</si>
  <si>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</si>
  <si>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</si>
  <si>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</si>
  <si>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</si>
  <si>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</si>
  <si>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</si>
  <si>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</si>
  <si>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</si>
  <si>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</si>
  <si>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</si>
  <si>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</si>
  <si>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</si>
  <si>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</si>
  <si>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</si>
  <si>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</si>
  <si>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</si>
  <si>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</si>
  <si>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</si>
  <si>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</si>
  <si>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</si>
  <si>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</si>
  <si>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</si>
  <si>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</si>
  <si>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</si>
  <si>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</si>
  <si>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</si>
  <si>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</si>
  <si>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</si>
  <si>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</si>
  <si>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</si>
  <si>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</si>
  <si>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</si>
  <si>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</si>
  <si>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</si>
  <si>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</si>
  <si>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</si>
  <si>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</si>
  <si>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</si>
  <si>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</si>
  <si>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</si>
  <si>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</si>
  <si>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</si>
  <si>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</si>
  <si>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</si>
  <si>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</si>
  <si>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</si>
  <si>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</si>
  <si>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</si>
  <si>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</si>
  <si>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</si>
  <si>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</si>
  <si>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</si>
  <si>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</si>
  <si>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</si>
  <si>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</si>
  <si>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</si>
  <si>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</si>
  <si>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</si>
  <si>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</si>
  <si>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</si>
  <si>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</si>
  <si>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</si>
  <si>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</si>
  <si>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</si>
  <si>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</si>
  <si>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</si>
  <si>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</si>
  <si>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</si>
  <si>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</si>
  <si>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</si>
  <si>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</si>
  <si>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</si>
  <si>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</si>
  <si>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</si>
  <si>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</si>
  <si>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</si>
  <si>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</si>
  <si>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</si>
  <si>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</si>
  <si>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</si>
  <si>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</si>
  <si>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</si>
  <si>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</si>
  <si>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</si>
  <si>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</si>
  <si>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</si>
  <si>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</si>
  <si>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</si>
  <si>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</si>
  <si>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</si>
  <si>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</si>
  <si>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</si>
  <si>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</si>
  <si>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</si>
  <si>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</si>
  <si>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</si>
  <si>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</si>
  <si>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</si>
  <si>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</si>
  <si>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</si>
  <si>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</si>
  <si>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</si>
  <si>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</si>
  <si>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</si>
  <si>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</si>
  <si>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</si>
  <si>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</si>
  <si>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</si>
  <si>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</si>
  <si>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</si>
  <si>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</si>
  <si>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</si>
  <si>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</si>
  <si>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</si>
  <si>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</si>
  <si>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</si>
  <si>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</si>
  <si>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</si>
  <si>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</si>
  <si>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</si>
  <si>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</si>
  <si>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</si>
  <si>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</si>
  <si>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</si>
  <si>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</si>
  <si>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</si>
  <si>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</si>
  <si>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</si>
  <si>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</si>
  <si>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</si>
  <si>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</si>
  <si>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</si>
  <si>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</si>
  <si>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</si>
  <si>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</si>
  <si>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</si>
  <si>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</si>
  <si>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</si>
  <si>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</si>
  <si>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</si>
  <si>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</si>
  <si>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</si>
  <si>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</si>
  <si>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</si>
  <si>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</si>
  <si>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</si>
  <si>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</si>
  <si>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</si>
  <si>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</si>
  <si>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</si>
  <si>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</si>
  <si>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</si>
  <si>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</si>
  <si>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</si>
  <si>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</si>
  <si>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</si>
  <si>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</si>
  <si>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</si>
  <si>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</si>
  <si>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</si>
  <si>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</si>
  <si>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</si>
  <si>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</si>
  <si>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</si>
  <si>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</si>
  <si>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</si>
  <si>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</si>
  <si>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</si>
  <si>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</si>
  <si>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</si>
  <si>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</si>
  <si>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</si>
  <si>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</si>
  <si>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</si>
  <si>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</si>
  <si>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</si>
  <si>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</si>
  <si>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</si>
  <si>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</si>
  <si>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</si>
  <si>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</si>
  <si>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</si>
  <si>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</si>
  <si>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</si>
  <si>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</si>
  <si>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</si>
  <si>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</si>
  <si>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</si>
  <si>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</si>
  <si>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</si>
  <si>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</si>
  <si>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</si>
  <si>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</si>
  <si>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</si>
  <si>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</si>
  <si>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</si>
  <si>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</si>
  <si>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</si>
  <si>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</si>
  <si>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</si>
  <si>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</si>
  <si>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</si>
  <si>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</si>
  <si>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</si>
  <si>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</si>
  <si>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</si>
  <si>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</si>
  <si>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</si>
  <si>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</si>
  <si>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</si>
  <si>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</si>
  <si>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</si>
  <si>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</si>
  <si>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</si>
  <si>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</si>
  <si>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</si>
  <si>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</si>
  <si>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</si>
  <si>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</si>
  <si>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</si>
  <si>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</si>
  <si>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</si>
  <si>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</si>
  <si>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</si>
  <si>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</si>
  <si>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</si>
  <si>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</si>
  <si>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</si>
  <si>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</si>
  <si>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</si>
  <si>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</si>
  <si>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</si>
  <si>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</si>
  <si>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</si>
  <si>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</si>
  <si>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</si>
  <si>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</si>
  <si>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</si>
  <si>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</si>
  <si>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</si>
  <si>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</si>
  <si>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</si>
  <si>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</si>
  <si>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</si>
  <si>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</si>
  <si>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</si>
  <si>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</si>
  <si>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</si>
  <si>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</si>
  <si>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</si>
  <si>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</si>
  <si>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</si>
  <si>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</si>
  <si>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</si>
  <si>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</si>
  <si>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</si>
  <si>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</si>
  <si>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</si>
  <si>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</si>
  <si>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</si>
  <si>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</si>
  <si>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</si>
  <si>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</si>
  <si>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</si>
  <si>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</si>
  <si>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</si>
  <si>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</si>
  <si>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</si>
  <si>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</si>
  <si>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</si>
  <si>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</si>
  <si>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</si>
  <si>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</si>
  <si>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</si>
  <si>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</si>
  <si>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</si>
  <si>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</si>
  <si>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</si>
  <si>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</si>
  <si>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</si>
  <si>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</si>
  <si>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</si>
  <si>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</si>
  <si>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</si>
  <si>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</si>
  <si>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</si>
  <si>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</si>
  <si>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</si>
  <si>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</si>
  <si>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</si>
  <si>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</si>
  <si>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</si>
  <si>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</si>
  <si>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</si>
  <si>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</si>
  <si>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</si>
  <si>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</si>
  <si>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</si>
  <si>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</si>
  <si>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</si>
  <si>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</si>
  <si>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</si>
  <si>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</si>
  <si>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</si>
  <si>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</si>
  <si>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</si>
  <si>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</si>
  <si>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</si>
  <si>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</si>
  <si>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</si>
  <si>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</si>
  <si>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</si>
  <si>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</si>
  <si>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</si>
  <si>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</si>
  <si>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</si>
  <si>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</si>
  <si>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</si>
  <si>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</si>
  <si>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</si>
  <si>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</si>
  <si>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</si>
  <si>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</si>
  <si>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</si>
  <si>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</si>
  <si>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</si>
  <si>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</si>
  <si>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</si>
  <si>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</si>
  <si>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</si>
  <si>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</si>
  <si>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</si>
  <si>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</si>
  <si>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</si>
  <si>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</si>
  <si>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</si>
  <si>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</si>
  <si>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</si>
  <si>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</si>
  <si>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</si>
  <si>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</si>
  <si>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</si>
  <si>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</si>
  <si>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</si>
  <si>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</si>
  <si>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</si>
  <si>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</si>
  <si>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</si>
  <si>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</si>
  <si>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</si>
  <si>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</si>
  <si>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</si>
  <si>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</si>
  <si>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</si>
  <si>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</si>
  <si>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</si>
  <si>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</si>
  <si>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</si>
  <si>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</si>
  <si>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</si>
  <si>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</si>
  <si>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</si>
  <si>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</si>
  <si>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</si>
  <si>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</si>
  <si>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</si>
  <si>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</si>
  <si>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</si>
  <si>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</si>
  <si>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</si>
  <si>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</si>
  <si>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</si>
  <si>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</si>
  <si>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</si>
  <si>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</si>
  <si>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</si>
  <si>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</si>
  <si>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</si>
  <si>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</si>
  <si>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</si>
  <si>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</si>
  <si>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</si>
  <si>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</si>
  <si>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</si>
  <si>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</si>
  <si>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</si>
  <si>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</si>
  <si>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</si>
  <si>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</si>
  <si>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</si>
  <si>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</si>
  <si>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</si>
  <si>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</si>
  <si>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</si>
  <si>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</si>
  <si>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</si>
  <si>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</si>
  <si>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</si>
  <si>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</si>
  <si>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</si>
  <si>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</si>
  <si>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</si>
  <si>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</si>
  <si>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</si>
  <si>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</si>
  <si>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</si>
  <si>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</si>
  <si>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</si>
  <si>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</si>
  <si>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</si>
  <si>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</si>
  <si>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</si>
  <si>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</si>
  <si>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</si>
  <si>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</si>
  <si>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</si>
  <si>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</si>
  <si>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</si>
  <si>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</si>
  <si>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</si>
  <si>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</si>
  <si>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</si>
  <si>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</si>
  <si>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</si>
  <si>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</si>
  <si>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</si>
  <si>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</si>
  <si>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</si>
  <si>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</si>
  <si>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</si>
  <si>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</si>
  <si>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</si>
  <si>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</si>
  <si>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</si>
  <si>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</si>
  <si>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</si>
  <si>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</si>
  <si>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</si>
  <si>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</si>
  <si>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</si>
  <si>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</si>
  <si>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</si>
  <si>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</si>
  <si>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</si>
  <si>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</si>
  <si>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</si>
  <si>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</si>
  <si>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</si>
  <si>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</si>
  <si>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</si>
  <si>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</si>
  <si>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</si>
  <si>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</si>
  <si>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</si>
  <si>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</si>
  <si>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</si>
  <si>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</si>
  <si>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</si>
  <si>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</si>
  <si>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</si>
  <si>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</si>
  <si>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</si>
  <si>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</si>
  <si>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</si>
  <si>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</si>
  <si>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</si>
  <si>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</si>
  <si>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</si>
  <si>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</si>
  <si>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</si>
  <si>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</si>
  <si>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</si>
  <si>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</si>
  <si>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</si>
  <si>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</si>
  <si>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</si>
  <si>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</si>
  <si>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</si>
  <si>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</si>
  <si>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</si>
  <si>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</si>
  <si>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</si>
  <si>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</si>
  <si>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</si>
  <si>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</si>
  <si>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</si>
  <si>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</si>
  <si>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</si>
  <si>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</si>
  <si>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</si>
  <si>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</si>
  <si>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</si>
  <si>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</si>
  <si>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</si>
  <si>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</si>
  <si>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</si>
  <si>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</si>
  <si>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</si>
  <si>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</si>
  <si>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</si>
  <si>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</si>
  <si>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</si>
  <si>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</si>
  <si>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</si>
  <si>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</si>
  <si>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</si>
  <si>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</si>
  <si>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</si>
  <si>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</si>
  <si>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</si>
  <si>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</si>
  <si>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</si>
  <si>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</si>
  <si>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</si>
  <si>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</si>
  <si>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</si>
  <si>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</si>
  <si>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</si>
  <si>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</si>
  <si>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</si>
  <si>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</si>
  <si>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</si>
  <si>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</si>
  <si>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</si>
  <si>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</si>
  <si>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</si>
  <si>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</si>
  <si>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</si>
  <si>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</si>
  <si>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</si>
  <si>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</si>
  <si>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</si>
  <si>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</si>
  <si>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</si>
  <si>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</si>
  <si>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</si>
  <si>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</si>
  <si>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</si>
  <si>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</si>
  <si>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</si>
  <si>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</si>
  <si>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</si>
  <si>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</si>
  <si>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</si>
  <si>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</si>
  <si>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</si>
  <si>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</si>
  <si>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</si>
  <si>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</si>
  <si>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</si>
  <si>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</si>
  <si>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</si>
  <si>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</si>
  <si>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</si>
  <si>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</si>
  <si>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</si>
  <si>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</si>
  <si>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</si>
  <si>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</si>
  <si>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</si>
  <si>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</si>
  <si>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</si>
  <si>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</si>
  <si>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</si>
  <si>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</si>
  <si>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</si>
  <si>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</si>
  <si>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</si>
  <si>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</si>
  <si>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</si>
  <si>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</si>
  <si>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</si>
  <si>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</si>
  <si>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</si>
  <si>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</si>
  <si>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</si>
  <si>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</si>
  <si>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</si>
  <si>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</si>
  <si>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</si>
  <si>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</si>
  <si>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</si>
  <si>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</si>
  <si>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</si>
  <si>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</si>
  <si>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</si>
  <si>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</si>
  <si>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</si>
  <si>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</si>
  <si>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</si>
  <si>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</si>
  <si>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</si>
  <si>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</si>
  <si>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</si>
  <si>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</si>
  <si>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</si>
  <si>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</si>
  <si>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</si>
  <si>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</si>
  <si>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</si>
  <si>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</si>
  <si>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</si>
  <si>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</si>
  <si>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</si>
  <si>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</si>
  <si>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</si>
  <si>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</si>
  <si>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</si>
  <si>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</si>
  <si>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</si>
  <si>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</si>
  <si>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</si>
  <si>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</si>
  <si>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</si>
  <si>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</si>
  <si>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</si>
  <si>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</si>
  <si>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</si>
  <si>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</si>
  <si>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</si>
  <si>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</si>
  <si>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</si>
  <si>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</si>
  <si>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</si>
  <si>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</si>
  <si>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</si>
  <si>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</si>
  <si>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</si>
  <si>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</si>
  <si>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</si>
  <si>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</si>
  <si>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</si>
  <si>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</si>
  <si>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</si>
  <si>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</si>
  <si>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</si>
  <si>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</si>
  <si>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</si>
  <si>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</si>
  <si>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</si>
  <si>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</si>
  <si>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</si>
  <si>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</si>
  <si>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</si>
  <si>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</si>
  <si>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</si>
  <si>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</si>
  <si>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</si>
  <si>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</si>
  <si>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</si>
  <si>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</si>
  <si>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</si>
  <si>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</si>
  <si>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</si>
  <si>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</si>
  <si>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</si>
  <si>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</si>
  <si>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</si>
  <si>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</si>
  <si>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</si>
  <si>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</si>
  <si>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</si>
  <si>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</si>
  <si>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</si>
  <si>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</si>
  <si>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</si>
  <si>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</si>
  <si>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</si>
  <si>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</si>
  <si>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</si>
  <si>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</si>
  <si>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</si>
  <si>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</si>
  <si>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</si>
  <si>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</si>
  <si>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</si>
  <si>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</si>
  <si>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</si>
  <si>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</si>
  <si>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</si>
  <si>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</si>
  <si>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</si>
  <si>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</si>
  <si>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</si>
  <si>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</si>
  <si>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</si>
  <si>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</si>
  <si>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</si>
  <si>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</si>
  <si>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</si>
  <si>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</si>
  <si>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</si>
  <si>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</si>
  <si>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</si>
  <si>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</si>
  <si>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</si>
  <si>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</si>
  <si>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</si>
  <si>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</si>
  <si>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</si>
  <si>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</si>
  <si>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</si>
  <si>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</si>
  <si>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</si>
  <si>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</si>
  <si>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</si>
  <si>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</si>
  <si>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</si>
  <si>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</si>
  <si>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</si>
  <si>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</si>
  <si>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</si>
  <si>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</si>
  <si>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</si>
  <si>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</si>
  <si>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</si>
  <si>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</si>
  <si>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</si>
  <si>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</si>
  <si>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</si>
  <si>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</si>
  <si>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</si>
  <si>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</si>
  <si>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</si>
  <si>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</si>
  <si>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</si>
  <si>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</si>
  <si>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</si>
  <si>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</si>
  <si>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</si>
  <si>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</si>
  <si>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</si>
  <si>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</si>
  <si>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</si>
  <si>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</si>
  <si>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</si>
  <si>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</si>
  <si>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</si>
  <si>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</si>
  <si>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</si>
  <si>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</si>
  <si>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</si>
  <si>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</si>
  <si>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</si>
  <si>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</si>
  <si>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</si>
  <si>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</si>
  <si>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</si>
  <si>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</si>
  <si>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</si>
  <si>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</si>
  <si>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</si>
  <si>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</si>
  <si>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</si>
  <si>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</si>
  <si>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</si>
  <si>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</si>
  <si>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</si>
  <si>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</si>
  <si>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</si>
  <si>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</si>
  <si>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</si>
  <si>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</si>
  <si>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</si>
  <si>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</si>
  <si>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</si>
  <si>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</si>
  <si>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</si>
  <si>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</si>
  <si>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</si>
  <si>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</si>
  <si>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</si>
  <si>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</si>
  <si>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</si>
  <si>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</si>
  <si>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</si>
  <si>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</si>
  <si>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</si>
  <si>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</si>
  <si>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</si>
  <si>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</si>
  <si>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</si>
  <si>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</si>
  <si>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</si>
  <si>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</si>
  <si>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</si>
  <si>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</si>
  <si>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</si>
  <si>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</si>
  <si>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</si>
  <si>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</si>
  <si>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</si>
  <si>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</si>
  <si>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</si>
  <si>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</si>
  <si>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</si>
  <si>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</si>
  <si>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</si>
  <si>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</si>
  <si>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</si>
  <si>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</si>
  <si>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</si>
  <si>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</si>
  <si>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</si>
  <si>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</si>
  <si>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</si>
  <si>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</si>
  <si>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</si>
  <si>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</si>
  <si>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</si>
  <si>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</si>
  <si>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</si>
  <si>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</si>
  <si>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</si>
  <si>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</si>
  <si>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</si>
  <si>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</si>
  <si>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</si>
  <si>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</si>
  <si>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</si>
  <si>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</si>
  <si>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</si>
  <si>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</si>
  <si>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</si>
  <si>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</si>
  <si>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</si>
  <si>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</si>
  <si>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</si>
  <si>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</si>
  <si>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</si>
  <si>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</si>
  <si>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</si>
  <si>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</si>
  <si>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</si>
  <si>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</si>
  <si>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</si>
  <si>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</si>
  <si>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</si>
  <si>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</si>
  <si>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</si>
  <si>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</si>
  <si>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</si>
  <si>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</si>
  <si>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</si>
  <si>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</si>
  <si>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</si>
  <si>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</si>
  <si>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</si>
  <si>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</si>
  <si>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</si>
  <si>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</si>
  <si>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</si>
  <si>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</si>
  <si>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</si>
  <si>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</si>
  <si>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</si>
  <si>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</si>
  <si>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</si>
  <si>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</si>
  <si>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</si>
  <si>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</si>
  <si>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</si>
  <si>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</si>
  <si>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</si>
  <si>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</si>
  <si>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</si>
  <si>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</si>
  <si>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</si>
  <si>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</si>
  <si>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</si>
  <si>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</si>
  <si>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</si>
  <si>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</si>
  <si>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</si>
  <si>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</si>
  <si>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</si>
  <si>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</si>
  <si>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</si>
  <si>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</si>
  <si>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</si>
  <si>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</si>
  <si>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</si>
  <si>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</si>
  <si>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</si>
  <si>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</si>
  <si>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</si>
  <si>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</si>
  <si>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</si>
  <si>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</si>
  <si>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</si>
  <si>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</si>
  <si>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</si>
  <si>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</si>
  <si>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</si>
  <si>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</si>
  <si>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</si>
  <si>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</si>
  <si>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</si>
  <si>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</si>
  <si>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</si>
  <si>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</si>
  <si>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</si>
  <si>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</si>
  <si>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</si>
  <si>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</si>
  <si>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</si>
  <si>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</si>
  <si>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</si>
  <si>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</si>
  <si>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</si>
  <si>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</si>
  <si>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</si>
  <si>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</si>
  <si>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</si>
  <si>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</si>
  <si>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</si>
  <si>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</si>
  <si>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</si>
  <si>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</si>
  <si>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</si>
  <si>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</si>
  <si>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</si>
  <si>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</si>
  <si>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</si>
  <si>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</si>
  <si>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</si>
  <si>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</si>
  <si>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</si>
  <si>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</si>
  <si>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</si>
  <si>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</si>
  <si>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</si>
  <si>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</si>
  <si>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</si>
  <si>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</si>
  <si>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</si>
  <si>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</si>
  <si>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</si>
  <si>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</si>
  <si>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</si>
  <si>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</si>
  <si>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</si>
  <si>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</si>
  <si>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</si>
  <si>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</si>
  <si>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</si>
  <si>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</si>
  <si>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</si>
  <si>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</si>
  <si>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</si>
  <si>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</si>
  <si>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</si>
  <si>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</si>
  <si>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</si>
  <si>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</si>
  <si>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</si>
  <si>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</si>
  <si>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</si>
  <si>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</si>
  <si>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</si>
  <si>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</si>
  <si>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</si>
  <si>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</si>
  <si>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</si>
  <si>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</si>
  <si>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</si>
  <si>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</si>
  <si>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</si>
  <si>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</si>
  <si>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</si>
  <si>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</si>
  <si>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</si>
  <si>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</si>
  <si>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</si>
  <si>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</si>
  <si>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</si>
  <si>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</si>
  <si>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</si>
  <si>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</si>
  <si>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</si>
  <si>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</si>
  <si>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</si>
  <si>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</si>
  <si>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</si>
  <si>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</si>
  <si>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</si>
  <si>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</si>
  <si>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</si>
  <si>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</si>
  <si>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</si>
  <si>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</si>
  <si>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</si>
  <si>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</si>
  <si>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</si>
  <si>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</si>
  <si>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</si>
  <si>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</si>
  <si>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</si>
  <si>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</si>
  <si>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</si>
  <si>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</si>
  <si>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</si>
  <si>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</si>
  <si>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</si>
  <si>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</si>
  <si>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</si>
  <si>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</si>
  <si>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</si>
  <si>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</si>
  <si>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</si>
  <si>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</si>
  <si>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</si>
  <si>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</si>
  <si>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</si>
  <si>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</si>
  <si>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</si>
  <si>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</si>
  <si>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</si>
  <si>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</si>
  <si>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</si>
  <si>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</si>
  <si>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</si>
  <si>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</si>
  <si>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</si>
  <si>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</si>
  <si>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</si>
  <si>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</si>
  <si>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</si>
  <si>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</si>
  <si>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</si>
  <si>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</si>
  <si>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</si>
  <si>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</si>
  <si>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</si>
  <si>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</si>
  <si>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</si>
  <si>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</si>
  <si>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</si>
  <si>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</si>
  <si>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</si>
  <si>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</si>
  <si>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</si>
  <si>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</si>
  <si>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</si>
  <si>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</si>
  <si>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</si>
  <si>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</si>
  <si>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</si>
  <si>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</si>
  <si>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</si>
  <si>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</si>
  <si>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</si>
  <si>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</si>
  <si>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</si>
  <si>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</si>
  <si>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</si>
  <si>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</si>
  <si>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</si>
  <si>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</si>
  <si>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</si>
  <si>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</si>
  <si>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</si>
  <si>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</si>
  <si>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</si>
  <si>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</si>
  <si>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</si>
  <si>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</si>
  <si>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</si>
  <si>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</si>
  <si>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</si>
  <si>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</si>
  <si>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</si>
  <si>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</si>
  <si>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</si>
  <si>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</si>
  <si>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</si>
  <si>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</si>
  <si>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</si>
  <si>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</si>
  <si>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</si>
  <si>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</si>
  <si>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</si>
  <si>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</si>
  <si>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</si>
  <si>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</si>
  <si>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</si>
  <si>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</si>
  <si>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</si>
  <si>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</si>
  <si>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</si>
  <si>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</si>
  <si>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</si>
  <si>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</si>
  <si>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</si>
  <si>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</si>
  <si>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</si>
  <si>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</si>
  <si>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</si>
  <si>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</si>
  <si>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</si>
  <si>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</si>
  <si>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</si>
  <si>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</si>
  <si>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</si>
  <si>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</si>
  <si>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</si>
  <si>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</si>
  <si>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</si>
  <si>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</si>
  <si>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</si>
  <si>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</si>
  <si>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</si>
  <si>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</si>
  <si>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</si>
  <si>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</si>
  <si>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</si>
  <si>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</si>
  <si>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</si>
  <si>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</si>
  <si>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</si>
  <si>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</si>
  <si>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</si>
  <si>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</si>
  <si>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</si>
  <si>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</si>
  <si>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</si>
  <si>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</si>
  <si>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</si>
  <si>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</si>
  <si>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</si>
  <si>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</si>
  <si>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</si>
  <si>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</si>
  <si>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</si>
  <si>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</si>
  <si>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</si>
  <si>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</si>
  <si>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</si>
  <si>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</si>
  <si>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</si>
  <si>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</si>
  <si>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</si>
  <si>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</si>
  <si>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</si>
  <si>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</si>
  <si>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</si>
  <si>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</si>
  <si>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</si>
  <si>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</si>
  <si>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</si>
  <si>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</si>
  <si>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</si>
  <si>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</si>
  <si>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</si>
  <si>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</si>
  <si>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</si>
  <si>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</si>
  <si>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</si>
  <si>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</si>
  <si>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</si>
  <si>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</si>
  <si>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</si>
  <si>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</si>
  <si>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</si>
  <si>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</si>
  <si>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</si>
  <si>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</si>
  <si>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</si>
  <si>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</si>
  <si>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</si>
  <si>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</si>
  <si>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</si>
  <si>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</si>
  <si>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</si>
  <si>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</si>
  <si>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</si>
  <si>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</si>
  <si>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</si>
  <si>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</si>
  <si>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</si>
  <si>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</si>
  <si>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</si>
  <si>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</si>
  <si>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</si>
  <si>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</si>
  <si>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</si>
  <si>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</si>
  <si>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</si>
  <si>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</si>
  <si>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</si>
  <si>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</si>
  <si>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</si>
  <si>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</si>
  <si>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</si>
  <si>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</si>
  <si>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</si>
  <si>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</si>
  <si>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</si>
  <si>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</si>
  <si>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</si>
  <si>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</si>
  <si>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</si>
  <si>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</si>
  <si>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</si>
  <si>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</si>
  <si>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</si>
  <si>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</si>
  <si>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</si>
  <si>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</si>
  <si>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</si>
  <si>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</si>
  <si>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</si>
  <si>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</si>
  <si>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</si>
  <si>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</si>
  <si>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</si>
  <si>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</si>
  <si>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</si>
  <si>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</si>
  <si>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</si>
  <si>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</si>
  <si>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</si>
  <si>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</si>
  <si>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</si>
  <si>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</si>
  <si>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</si>
  <si>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</si>
  <si>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</si>
  <si>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</si>
  <si>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</si>
  <si>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</si>
  <si>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</si>
  <si>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</si>
  <si>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</si>
  <si>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</si>
  <si>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</si>
  <si>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</si>
  <si>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</si>
  <si>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</si>
  <si>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</si>
  <si>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</si>
  <si>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</si>
  <si>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</si>
  <si>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</si>
  <si>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</si>
  <si>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</si>
  <si>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</si>
  <si>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</si>
  <si>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</si>
  <si>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</si>
  <si>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</si>
  <si>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</si>
  <si>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</si>
  <si>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</si>
  <si>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</si>
  <si>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</si>
  <si>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</si>
  <si>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</si>
  <si>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</si>
  <si>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</si>
  <si>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</si>
  <si>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</si>
  <si>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</si>
  <si>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</si>
  <si>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</si>
  <si>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</si>
  <si>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</si>
  <si>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</si>
  <si>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</si>
  <si>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</si>
  <si>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</si>
  <si>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</si>
  <si>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</si>
  <si>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</si>
  <si>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</si>
  <si>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</si>
  <si>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</si>
  <si>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</si>
  <si>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</si>
  <si>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</si>
  <si>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</si>
  <si>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</si>
  <si>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</si>
  <si>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</si>
  <si>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</si>
  <si>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</si>
  <si>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</si>
  <si>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</si>
  <si>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</si>
  <si>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</si>
  <si>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</si>
  <si>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</si>
  <si>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</si>
  <si>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</si>
  <si>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</si>
  <si>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</si>
  <si>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</si>
  <si>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</si>
  <si>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</si>
  <si>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</si>
  <si>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</si>
  <si>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</si>
  <si>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</si>
  <si>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</si>
  <si>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</si>
  <si>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</si>
  <si>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</si>
  <si>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</si>
  <si>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</si>
  <si>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</si>
  <si>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</si>
  <si>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</si>
  <si>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</si>
  <si>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</si>
  <si>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</si>
  <si>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</si>
  <si>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</si>
  <si>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</si>
  <si>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</si>
  <si>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</si>
  <si>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</si>
  <si>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</si>
  <si>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</si>
  <si>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</si>
  <si>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</si>
  <si>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</si>
  <si>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</si>
  <si>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</si>
  <si>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</si>
  <si>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</si>
  <si>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</si>
  <si>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</si>
  <si>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</si>
  <si>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</si>
  <si>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</si>
  <si>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</si>
  <si>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</si>
  <si>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</si>
  <si>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</si>
  <si>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</si>
  <si>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</si>
  <si>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</si>
  <si>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</si>
  <si>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</si>
  <si>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</si>
  <si>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</si>
  <si>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</si>
  <si>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</si>
  <si>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</si>
  <si>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</si>
  <si>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</si>
  <si>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</si>
  <si>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</si>
  <si>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</si>
  <si>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</si>
  <si>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</si>
  <si>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</si>
  <si>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</si>
  <si>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</si>
  <si>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</si>
  <si>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</si>
  <si>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</si>
  <si>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</si>
  <si>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</si>
  <si>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</si>
  <si>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</si>
  <si>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</si>
  <si>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</si>
  <si>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</si>
  <si>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</si>
  <si>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</si>
  <si>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</si>
  <si>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</si>
  <si>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</si>
  <si>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</si>
  <si>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</si>
  <si>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</si>
  <si>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</si>
  <si>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</si>
  <si>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</si>
  <si>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</si>
  <si>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</si>
  <si>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</si>
  <si>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</si>
  <si>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</si>
  <si>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</si>
  <si>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</si>
  <si>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</si>
  <si>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</si>
  <si>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</si>
  <si>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</si>
  <si>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</si>
  <si>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</si>
  <si>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</si>
  <si>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</si>
  <si>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</si>
  <si>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</si>
  <si>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</si>
  <si>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</si>
  <si>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</si>
  <si>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</si>
  <si>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</si>
  <si>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</si>
  <si>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</si>
  <si>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</si>
  <si>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</si>
  <si>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</si>
  <si>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</si>
  <si>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</si>
  <si>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</si>
  <si>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</si>
  <si>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</si>
  <si>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</si>
  <si>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</si>
  <si>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</si>
  <si>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</si>
  <si>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</si>
  <si>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</si>
  <si>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</si>
  <si>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</si>
  <si>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</si>
  <si>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</si>
  <si>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</si>
  <si>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</si>
  <si>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</si>
  <si>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</si>
  <si>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</si>
  <si>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</si>
  <si>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</si>
  <si>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</si>
  <si>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</si>
  <si>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</si>
  <si>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</si>
  <si>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</si>
  <si>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</si>
  <si>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</si>
  <si>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</si>
  <si>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</si>
  <si>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</si>
  <si>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</si>
  <si>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</si>
  <si>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</si>
  <si>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</si>
  <si>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</si>
  <si>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</si>
  <si>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</si>
  <si>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</si>
  <si>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</si>
  <si>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</si>
  <si>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</si>
  <si>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</si>
  <si>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</si>
  <si>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</si>
  <si>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</si>
  <si>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</si>
  <si>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</si>
  <si>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</si>
  <si>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</si>
  <si>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</si>
  <si>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</si>
  <si>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</si>
  <si>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</si>
  <si>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</si>
  <si>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</si>
  <si>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</si>
  <si>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</si>
  <si>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</si>
  <si>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</si>
  <si>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</si>
  <si>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</si>
  <si>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</si>
  <si>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</si>
  <si>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</si>
  <si>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</si>
  <si>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</si>
  <si>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</si>
  <si>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</si>
  <si>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</si>
  <si>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</si>
  <si>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</si>
  <si>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</si>
  <si>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</si>
  <si>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</si>
  <si>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</si>
  <si>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</si>
  <si>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</si>
  <si>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</si>
  <si>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</si>
  <si>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</si>
  <si>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</si>
  <si>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</si>
  <si>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</si>
  <si>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</si>
  <si>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</si>
  <si>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</si>
  <si>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</si>
  <si>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</si>
  <si>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</si>
  <si>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</si>
  <si>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</si>
  <si>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</si>
  <si>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</si>
  <si>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</si>
  <si>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</si>
  <si>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</si>
  <si>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</si>
  <si>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</si>
  <si>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</si>
  <si>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</si>
  <si>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</si>
  <si>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</si>
  <si>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</si>
  <si>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</si>
  <si>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</si>
  <si>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</si>
  <si>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</si>
  <si>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</si>
  <si>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</si>
  <si>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</si>
  <si>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</si>
  <si>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</si>
  <si>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</si>
  <si>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</si>
  <si>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</si>
  <si>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</si>
  <si>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</si>
  <si>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</si>
  <si>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</si>
  <si>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</si>
  <si>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</si>
  <si>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</si>
  <si>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</si>
  <si>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</si>
  <si>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</si>
  <si>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</si>
  <si>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</si>
  <si>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</si>
  <si>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</si>
  <si>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</si>
  <si>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</si>
  <si>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</si>
  <si>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</si>
  <si>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</si>
  <si>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</si>
  <si>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</si>
  <si>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</si>
  <si>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</si>
  <si>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</si>
  <si>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</si>
  <si>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</si>
  <si>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</si>
  <si>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</si>
  <si>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</si>
  <si>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</si>
  <si>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</si>
  <si>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</si>
  <si>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</si>
  <si>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</si>
  <si>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</si>
  <si>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</si>
  <si>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</si>
  <si>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</si>
  <si>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</si>
  <si>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</si>
  <si>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</si>
  <si>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</si>
  <si>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</si>
  <si>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</si>
  <si>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</si>
  <si>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</si>
  <si>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</si>
  <si>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</si>
  <si>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</si>
  <si>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</si>
  <si>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</si>
  <si>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</si>
  <si>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</si>
  <si>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</si>
  <si>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</si>
  <si>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</si>
  <si>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</si>
  <si>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</si>
  <si>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</si>
  <si>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</si>
  <si>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</si>
  <si>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</si>
  <si>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</si>
  <si>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</si>
  <si>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</si>
  <si>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</si>
  <si>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</si>
  <si>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</si>
  <si>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</si>
  <si>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</si>
  <si>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</si>
  <si>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</si>
  <si>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</si>
  <si>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</si>
  <si>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</si>
  <si>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</si>
  <si>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</si>
  <si>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</si>
  <si>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</si>
  <si>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</si>
  <si>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</si>
  <si>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</si>
  <si>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</si>
  <si>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</si>
  <si>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</si>
  <si>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</si>
  <si>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</si>
  <si>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</si>
  <si>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</si>
  <si>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</si>
  <si>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</si>
  <si>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</si>
  <si>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</si>
  <si>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</si>
  <si>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</si>
  <si>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</si>
  <si>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</si>
  <si>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</si>
  <si>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</si>
  <si>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</si>
  <si>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</si>
  <si>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</si>
  <si>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</si>
  <si>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</si>
  <si>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</si>
  <si>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</si>
  <si>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</si>
  <si>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</si>
  <si>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</si>
  <si>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</si>
  <si>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</si>
  <si>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</si>
  <si>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</si>
  <si>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</si>
  <si>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</si>
  <si>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</si>
  <si>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</si>
  <si>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</si>
  <si>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</si>
  <si>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</si>
  <si>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</si>
  <si>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</si>
  <si>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</si>
  <si>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</si>
  <si>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</si>
  <si>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</si>
  <si>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</si>
  <si>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</si>
  <si>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</si>
  <si>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</si>
  <si>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</si>
  <si>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</si>
  <si>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</si>
  <si>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</si>
  <si>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</si>
  <si>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</si>
  <si>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</si>
  <si>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</si>
  <si>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</si>
  <si>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</si>
  <si>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</si>
  <si>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</si>
  <si>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</si>
  <si>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</si>
  <si>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</si>
  <si>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</si>
  <si>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</si>
  <si>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</si>
  <si>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</si>
  <si>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</si>
  <si>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</si>
  <si>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</si>
  <si>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</si>
  <si>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</si>
  <si>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</si>
  <si>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</si>
  <si>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</si>
  <si>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</si>
  <si>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</si>
  <si>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</si>
  <si>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</si>
  <si>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</si>
  <si>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</si>
  <si>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</si>
  <si>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</si>
  <si>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</si>
  <si>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</si>
  <si>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</si>
  <si>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</si>
  <si>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</si>
  <si>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</si>
  <si>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</si>
  <si>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</si>
  <si>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</si>
  <si>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</si>
  <si>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</si>
  <si>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</si>
  <si>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</si>
  <si>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</si>
  <si>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</si>
  <si>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</si>
  <si>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</si>
  <si>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</si>
  <si>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</si>
  <si>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</si>
  <si>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</si>
  <si>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</si>
  <si>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</si>
  <si>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</si>
  <si>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</si>
  <si>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</si>
  <si>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</si>
  <si>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</si>
  <si>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</si>
  <si>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</si>
  <si>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</si>
  <si>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</si>
  <si>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</si>
  <si>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</si>
  <si>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</si>
  <si>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</si>
  <si>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</si>
  <si>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</si>
  <si>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</si>
  <si>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</si>
  <si>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</si>
  <si>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</si>
  <si>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</si>
  <si>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</si>
  <si>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</si>
  <si>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</si>
  <si>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</si>
  <si>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</si>
  <si>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</si>
  <si>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</si>
  <si>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</si>
  <si>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</si>
  <si>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</si>
  <si>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</si>
  <si>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</si>
  <si>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</si>
  <si>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</si>
  <si>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</si>
  <si>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</si>
  <si>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</si>
  <si>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</si>
  <si>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</si>
  <si>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</si>
  <si>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</si>
  <si>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</si>
  <si>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</si>
  <si>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</si>
  <si>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</si>
  <si>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</si>
  <si>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</si>
  <si>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</si>
  <si>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</si>
  <si>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</si>
  <si>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</si>
  <si>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</si>
  <si>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</si>
  <si>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</si>
  <si>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</si>
  <si>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</si>
  <si>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</si>
  <si>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</si>
  <si>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</si>
  <si>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</si>
  <si>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</si>
  <si>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</si>
  <si>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</si>
  <si>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</si>
  <si>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</si>
  <si>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</si>
  <si>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</si>
  <si>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</si>
  <si>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</si>
  <si>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</si>
  <si>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</si>
  <si>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</si>
  <si>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</si>
  <si>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</si>
  <si>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</si>
  <si>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</si>
  <si>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</si>
  <si>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</si>
  <si>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</si>
  <si>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</si>
  <si>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</si>
  <si>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</si>
  <si>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</si>
  <si>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</si>
  <si>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</si>
  <si>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</si>
  <si>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</si>
  <si>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</si>
  <si>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</si>
  <si>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</si>
  <si>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</si>
  <si>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</si>
  <si>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</si>
  <si>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</si>
  <si>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</si>
  <si>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</si>
  <si>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</si>
  <si>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</si>
  <si>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</si>
  <si>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</si>
  <si>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</si>
  <si>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</si>
  <si>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</si>
  <si>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</si>
  <si>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</si>
  <si>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</si>
  <si>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</si>
  <si>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</si>
  <si>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</si>
  <si>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</si>
  <si>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</si>
  <si>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</si>
  <si>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</si>
  <si>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</si>
  <si>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</si>
  <si>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</si>
  <si>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</si>
  <si>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</si>
  <si>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</si>
  <si>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</si>
  <si>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</si>
  <si>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</si>
  <si>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</si>
  <si>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</si>
  <si>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</si>
  <si>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</si>
  <si>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</si>
  <si>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</si>
  <si>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</si>
  <si>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</si>
  <si>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</si>
  <si>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</si>
  <si>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</si>
  <si>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</si>
  <si>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</si>
  <si>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</si>
  <si>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</si>
  <si>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</si>
  <si>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</si>
  <si>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</si>
  <si>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</si>
  <si>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</si>
  <si>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</si>
  <si>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</si>
  <si>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</si>
  <si>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</si>
  <si>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</si>
  <si>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</si>
  <si>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</si>
  <si>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</si>
  <si>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</si>
  <si>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</si>
  <si>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</si>
  <si>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</si>
  <si>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</si>
  <si>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</si>
  <si>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</si>
  <si>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</si>
  <si>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</si>
  <si>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</si>
  <si>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</si>
  <si>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</si>
  <si>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</si>
  <si>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</si>
  <si>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</si>
  <si>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</si>
  <si>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</si>
  <si>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</si>
  <si>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</si>
  <si>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</si>
  <si>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</si>
  <si>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</si>
  <si>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</si>
  <si>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</si>
  <si>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</si>
  <si>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</si>
  <si>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</si>
  <si>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</si>
  <si>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</si>
  <si>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</si>
  <si>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</si>
  <si>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</si>
  <si>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</si>
  <si>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</si>
  <si>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</si>
  <si>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</si>
  <si>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</si>
  <si>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</si>
  <si>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</si>
  <si>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</si>
  <si>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</si>
  <si>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</si>
  <si>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</si>
  <si>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</si>
  <si>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</si>
  <si>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</si>
  <si>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</si>
  <si>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</si>
  <si>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</si>
  <si>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</si>
  <si>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</si>
  <si>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</si>
  <si>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</si>
  <si>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</si>
  <si>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</si>
  <si>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</si>
  <si>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</si>
  <si>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</si>
  <si>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</si>
  <si>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</si>
  <si>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</si>
  <si>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</si>
  <si>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</si>
  <si>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</si>
  <si>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</si>
  <si>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</si>
  <si>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</si>
  <si>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</si>
  <si>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</si>
  <si>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</si>
  <si>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</si>
  <si>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</si>
  <si>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</si>
  <si>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</si>
  <si>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</si>
  <si>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</si>
  <si>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</si>
  <si>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</si>
  <si>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</si>
  <si>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</si>
  <si>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</si>
  <si>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</si>
  <si>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</si>
  <si>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</si>
  <si>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</si>
  <si>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</si>
  <si>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</si>
  <si>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</si>
  <si>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</si>
  <si>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</si>
  <si>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</si>
  <si>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</si>
  <si>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</si>
  <si>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</si>
  <si>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</si>
  <si>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</si>
  <si>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</si>
  <si>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</si>
  <si>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</si>
  <si>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</si>
  <si>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</si>
  <si>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</si>
  <si>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</si>
  <si>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</si>
  <si>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</si>
  <si>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</si>
  <si>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</si>
  <si>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</si>
  <si>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</si>
  <si>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</si>
  <si>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</si>
  <si>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</si>
  <si>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</si>
  <si>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</si>
  <si>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</si>
  <si>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</si>
  <si>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</si>
  <si>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</si>
  <si>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</si>
  <si>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</si>
  <si>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</si>
  <si>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</si>
  <si>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</si>
  <si>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</si>
  <si>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</si>
  <si>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</si>
  <si>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</si>
  <si>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</si>
  <si>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</si>
  <si>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</si>
  <si>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</si>
  <si>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</si>
  <si>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</si>
  <si>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</si>
  <si>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</si>
  <si>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</si>
  <si>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</si>
  <si>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</si>
  <si>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</si>
  <si>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</si>
  <si>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</si>
  <si>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</si>
  <si>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</si>
  <si>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</si>
  <si>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</si>
  <si>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</si>
  <si>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</si>
  <si>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</si>
  <si>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</si>
  <si>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</si>
  <si>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</si>
  <si>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</si>
  <si>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</si>
  <si>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</si>
  <si>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</si>
  <si>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</si>
  <si>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</si>
  <si>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</si>
  <si>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</si>
  <si>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</si>
  <si>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</si>
  <si>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</si>
  <si>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</si>
  <si>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</si>
  <si>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</si>
  <si>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</si>
  <si>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</si>
  <si>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</si>
  <si>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</si>
  <si>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</si>
  <si>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</si>
  <si>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</si>
  <si>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</si>
  <si>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</si>
  <si>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</si>
  <si>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</si>
  <si>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</si>
  <si>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</si>
  <si>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</si>
  <si>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</si>
  <si>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</si>
  <si>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</si>
  <si>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</si>
  <si>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</si>
  <si>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</si>
  <si>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</si>
  <si>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</si>
  <si>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</si>
  <si>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</si>
  <si>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</si>
  <si>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</si>
  <si>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</si>
  <si>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</si>
  <si>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</si>
  <si>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</si>
  <si>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</si>
  <si>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</si>
  <si>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</si>
  <si>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</si>
  <si>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</si>
  <si>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</si>
  <si>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</si>
  <si>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</si>
  <si>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</si>
  <si>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</si>
  <si>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</si>
  <si>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</si>
  <si>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</si>
  <si>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</si>
  <si>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</si>
  <si>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</si>
  <si>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</si>
  <si>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</si>
  <si>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</si>
  <si>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</si>
  <si>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</si>
  <si>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</si>
  <si>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</si>
  <si>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</si>
  <si>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</si>
  <si>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</si>
  <si>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</si>
  <si>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</si>
  <si>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</si>
  <si>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</si>
  <si>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</si>
  <si>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</si>
  <si>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</si>
  <si>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</si>
  <si>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</si>
  <si>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</si>
  <si>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</si>
  <si>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</si>
  <si>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</si>
  <si>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</si>
  <si>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</si>
  <si>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</si>
  <si>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</si>
  <si>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</si>
  <si>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</si>
  <si>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</si>
  <si>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</si>
  <si>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</si>
  <si>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</si>
  <si>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</si>
  <si>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</si>
  <si>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</si>
  <si>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</si>
  <si>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</si>
  <si>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</si>
  <si>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</si>
  <si>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</si>
  <si>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</si>
  <si>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</si>
  <si>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</si>
  <si>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</si>
  <si>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</si>
  <si>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</si>
  <si>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</si>
  <si>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</si>
  <si>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</si>
  <si>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</si>
  <si>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</si>
  <si>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</si>
  <si>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</si>
  <si>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</si>
  <si>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</si>
  <si>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</si>
  <si>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</si>
  <si>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</si>
  <si>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</si>
  <si>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</si>
  <si>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</si>
  <si>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</si>
  <si>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</si>
  <si>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</si>
  <si>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</si>
  <si>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</si>
  <si>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</si>
  <si>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</si>
  <si>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</si>
  <si>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</si>
  <si>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</si>
  <si>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</si>
  <si>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</si>
  <si>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</si>
  <si>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</si>
  <si>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</si>
  <si>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</si>
  <si>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</si>
  <si>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</si>
  <si>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</si>
  <si>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</si>
  <si>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</si>
  <si>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</si>
  <si>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</si>
  <si>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</si>
  <si>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</si>
  <si>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</si>
  <si>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</si>
  <si>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</si>
  <si>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</si>
  <si>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</si>
  <si>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</si>
  <si>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</si>
  <si>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</si>
  <si>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</si>
  <si>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</si>
  <si>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</si>
  <si>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</si>
  <si>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</si>
  <si>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</si>
  <si>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</si>
  <si>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</si>
  <si>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</si>
  <si>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</si>
  <si>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</si>
  <si>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</si>
  <si>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</si>
  <si>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</si>
  <si>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</si>
  <si>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</si>
  <si>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</si>
  <si>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</si>
  <si>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</si>
  <si>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</si>
  <si>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</si>
  <si>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</si>
  <si>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</si>
  <si>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</si>
  <si>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</si>
  <si>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</si>
  <si>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</si>
  <si>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</si>
  <si>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</si>
  <si>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</si>
  <si>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</si>
  <si>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</si>
  <si>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</si>
  <si>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</si>
  <si>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</si>
  <si>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</si>
  <si>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</si>
  <si>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</si>
  <si>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</si>
  <si>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</si>
  <si>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</si>
  <si>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</si>
  <si>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</si>
  <si>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</si>
  <si>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</si>
  <si>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</si>
  <si>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</si>
  <si>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</si>
  <si>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</si>
  <si>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</si>
  <si>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</si>
  <si>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</si>
  <si>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</si>
  <si>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</si>
  <si>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</si>
  <si>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</si>
  <si>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</si>
  <si>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</si>
  <si>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</si>
  <si>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</si>
  <si>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</si>
  <si>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</si>
  <si>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</si>
  <si>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</si>
  <si>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</si>
  <si>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</si>
  <si>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</si>
  <si>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</si>
  <si>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</si>
  <si>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</si>
  <si>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</si>
  <si>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</si>
  <si>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</si>
  <si>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</si>
  <si>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</si>
  <si>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</si>
  <si>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</si>
  <si>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</si>
  <si>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</si>
  <si>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</si>
  <si>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</si>
  <si>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</si>
  <si>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</si>
  <si>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</si>
  <si>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</si>
  <si>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</si>
  <si>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</si>
  <si>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</si>
  <si>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</si>
  <si>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</si>
  <si>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</si>
  <si>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</si>
  <si>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</si>
  <si>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</si>
  <si>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</si>
  <si>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</si>
  <si>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</si>
  <si>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</si>
  <si>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</si>
  <si>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</si>
  <si>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</si>
  <si>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</si>
  <si>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</si>
  <si>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</si>
  <si>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</si>
  <si>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</si>
  <si>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</si>
  <si>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</si>
  <si>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</si>
  <si>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</si>
  <si>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</si>
  <si>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</si>
  <si>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</si>
  <si>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</si>
  <si>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</si>
  <si>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</si>
  <si>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</si>
  <si>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</si>
  <si>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</si>
  <si>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</si>
  <si>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</si>
  <si>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</si>
  <si>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</si>
  <si>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</si>
  <si>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</si>
  <si>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</si>
  <si>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</si>
  <si>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</si>
  <si>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</si>
  <si>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</si>
  <si>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</si>
  <si>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</si>
  <si>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</si>
  <si>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</si>
  <si>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</si>
  <si>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</si>
  <si>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</si>
  <si>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</si>
  <si>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</si>
  <si>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</si>
  <si>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</si>
  <si>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</si>
  <si>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</si>
  <si>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</si>
  <si>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</si>
  <si>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</si>
  <si>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</si>
  <si>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</si>
  <si>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</si>
  <si>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</si>
  <si>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</si>
  <si>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</si>
  <si>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</si>
  <si>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</si>
  <si>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</si>
  <si>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</si>
  <si>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</si>
  <si>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</si>
  <si>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</si>
  <si>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</si>
  <si>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</si>
  <si>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</si>
  <si>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</si>
  <si>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</si>
  <si>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</si>
  <si>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</si>
  <si>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</si>
  <si>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</si>
  <si>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</si>
  <si>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</si>
  <si>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</si>
  <si>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</si>
  <si>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</si>
  <si>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</si>
  <si>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</si>
  <si>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</si>
  <si>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</si>
  <si>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</si>
  <si>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</si>
  <si>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</si>
  <si>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</si>
  <si>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</si>
  <si>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</si>
  <si>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</si>
  <si>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</si>
  <si>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</si>
  <si>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</si>
  <si>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</si>
  <si>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</si>
  <si>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</si>
  <si>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</si>
  <si>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</si>
  <si>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</si>
  <si>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</si>
  <si>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</si>
  <si>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</si>
  <si>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</si>
  <si>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</si>
  <si>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</si>
  <si>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</si>
  <si>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</si>
  <si>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</si>
  <si>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</si>
  <si>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</si>
  <si>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</si>
  <si>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</si>
  <si>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</si>
  <si>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</si>
  <si>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</si>
  <si>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</si>
  <si>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</si>
  <si>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</si>
  <si>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</si>
  <si>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</si>
  <si>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</si>
  <si>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</si>
  <si>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</si>
  <si>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</si>
  <si>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</si>
  <si>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</si>
  <si>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</si>
  <si>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</si>
  <si>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</si>
  <si>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</si>
  <si>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</si>
  <si>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</si>
  <si>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</si>
  <si>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</si>
  <si>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</si>
  <si>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</si>
  <si>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</si>
  <si>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</si>
  <si>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</si>
  <si>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</si>
  <si>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</si>
  <si>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</si>
  <si>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</si>
  <si>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</si>
  <si>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</si>
  <si>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</si>
  <si>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</si>
  <si>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</si>
  <si>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</si>
  <si>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</si>
  <si>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</si>
  <si>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</si>
  <si>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</si>
  <si>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</si>
  <si>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</si>
  <si>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</si>
  <si>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</si>
  <si>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</si>
  <si>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</si>
  <si>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</si>
  <si>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</si>
  <si>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</si>
  <si>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</si>
  <si>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</si>
  <si>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</si>
  <si>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</si>
  <si>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</si>
  <si>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</si>
  <si>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</si>
  <si>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</si>
  <si>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</si>
  <si>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</si>
  <si>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</si>
  <si>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</si>
  <si>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</si>
  <si>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</si>
  <si>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</si>
  <si>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</si>
  <si>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</si>
  <si>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</si>
  <si>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</si>
  <si>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</si>
  <si>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</si>
  <si>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</si>
  <si>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</si>
  <si>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</si>
  <si>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</si>
  <si>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</si>
  <si>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</si>
  <si>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</si>
  <si>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</si>
  <si>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</si>
  <si>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</si>
  <si>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</si>
  <si>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</si>
  <si>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</si>
  <si>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</si>
  <si>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</si>
  <si>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</si>
  <si>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</si>
  <si>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</si>
  <si>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</si>
  <si>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</si>
  <si>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</si>
  <si>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</si>
  <si>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</si>
  <si>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</si>
  <si>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</si>
  <si>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</si>
  <si>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</si>
  <si>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</si>
  <si>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</si>
  <si>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</si>
  <si>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</si>
  <si>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</si>
  <si>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</si>
  <si>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</si>
  <si>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</si>
  <si>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</si>
  <si>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</si>
  <si>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</si>
  <si>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</si>
  <si>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</si>
  <si>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</si>
  <si>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</si>
  <si>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</si>
  <si>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</si>
  <si>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</si>
  <si>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</si>
  <si>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</si>
  <si>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</si>
  <si>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</si>
  <si>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</si>
  <si>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</si>
  <si>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</si>
  <si>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</si>
  <si>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</si>
  <si>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</si>
  <si>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</si>
  <si>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</si>
  <si>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</si>
  <si>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</si>
  <si>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</si>
  <si>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</si>
  <si>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</si>
  <si>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</si>
  <si>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</si>
  <si>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</si>
  <si>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</si>
  <si>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</si>
  <si>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</si>
  <si>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</si>
  <si>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</si>
  <si>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</si>
  <si>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</si>
  <si>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</si>
  <si>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</si>
  <si>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</si>
  <si>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</si>
  <si>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</si>
  <si>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</si>
  <si>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</si>
  <si>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</si>
  <si>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</si>
  <si>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</si>
  <si>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</si>
  <si>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</si>
  <si>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</si>
  <si>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</si>
  <si>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</si>
  <si>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</si>
  <si>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</si>
  <si>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</si>
  <si>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</si>
  <si>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</si>
  <si>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</si>
  <si>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</si>
  <si>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</si>
  <si>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</si>
  <si>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</si>
  <si>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</si>
  <si>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</si>
  <si>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</si>
  <si>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</si>
  <si>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</si>
  <si>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</si>
  <si>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</si>
  <si>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</si>
  <si>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</si>
  <si>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</si>
  <si>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</si>
  <si>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</si>
  <si>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</si>
  <si>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</si>
  <si>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</si>
  <si>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</si>
  <si>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</si>
  <si>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</si>
  <si>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</si>
  <si>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</si>
  <si>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</si>
  <si>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</si>
  <si>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</si>
  <si>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</si>
  <si>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</si>
  <si>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</si>
  <si>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</si>
  <si>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</si>
  <si>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</si>
  <si>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</si>
  <si>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</si>
  <si>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</si>
  <si>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</si>
  <si>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</si>
  <si>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</si>
  <si>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</si>
  <si>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</si>
  <si>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</si>
  <si>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</si>
  <si>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</si>
  <si>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</si>
  <si>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</si>
  <si>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</si>
  <si>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</si>
  <si>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</si>
  <si>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</si>
  <si>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</si>
  <si>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</si>
  <si>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</si>
  <si>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</si>
  <si>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</si>
  <si>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</si>
  <si>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</si>
  <si>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</si>
  <si>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</si>
  <si>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</si>
  <si>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</si>
  <si>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</si>
  <si>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</si>
  <si>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</si>
  <si>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</si>
  <si>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</si>
  <si>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</si>
  <si>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</si>
  <si>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</si>
  <si>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</si>
  <si>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</si>
  <si>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</si>
  <si>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</si>
  <si>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</si>
  <si>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</si>
  <si>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</si>
  <si>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</si>
  <si>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</si>
  <si>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</si>
  <si>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</si>
  <si>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</si>
  <si>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</si>
  <si>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</si>
  <si>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</si>
  <si>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</si>
  <si>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</si>
  <si>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</si>
  <si>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</si>
  <si>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</si>
  <si>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</si>
  <si>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</si>
  <si>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</si>
  <si>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</si>
  <si>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</si>
  <si>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</si>
  <si>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</si>
  <si>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</si>
  <si>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</si>
  <si>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</si>
  <si>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</si>
  <si>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</si>
  <si>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</si>
  <si>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</si>
  <si>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</si>
  <si>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</si>
  <si>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</si>
  <si>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</si>
  <si>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</si>
  <si>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</si>
  <si>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</si>
  <si>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</si>
  <si>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</si>
  <si>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</si>
  <si>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</si>
  <si>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</si>
  <si>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</si>
  <si>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</si>
  <si>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</si>
  <si>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</si>
  <si>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</si>
  <si>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</si>
  <si>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</si>
  <si>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</si>
  <si>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</si>
  <si>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</si>
  <si>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</si>
  <si>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</si>
  <si>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</si>
  <si>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</si>
  <si>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</si>
  <si>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</si>
  <si>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</si>
  <si>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</si>
  <si>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</si>
  <si>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</si>
  <si>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</si>
  <si>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</si>
  <si>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</si>
  <si>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</si>
  <si>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</si>
  <si>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</si>
  <si>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</si>
  <si>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</si>
  <si>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</si>
  <si>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</si>
  <si>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</si>
  <si>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</si>
  <si>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</si>
  <si>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</si>
  <si>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</si>
  <si>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</si>
  <si>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</si>
  <si>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</si>
  <si>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</si>
  <si>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</si>
  <si>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</si>
  <si>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</si>
  <si>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</si>
  <si>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</si>
  <si>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</si>
  <si>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</si>
  <si>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</si>
  <si>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</si>
  <si>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</si>
  <si>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</si>
  <si>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</si>
  <si>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</si>
  <si>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</si>
  <si>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</si>
  <si>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</si>
  <si>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</si>
  <si>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</si>
  <si>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</si>
  <si>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</si>
  <si>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</si>
  <si>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</si>
  <si>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</si>
  <si>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</si>
  <si>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</si>
  <si>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</si>
  <si>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</si>
  <si>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</si>
  <si>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</si>
  <si>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</si>
  <si>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</si>
  <si>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</si>
  <si>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</si>
  <si>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</si>
  <si>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</si>
  <si>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</si>
  <si>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</si>
  <si>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</si>
  <si>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</si>
  <si>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</si>
  <si>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</si>
  <si>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</si>
  <si>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</si>
  <si>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</si>
  <si>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</si>
  <si>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</si>
  <si>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</si>
  <si>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</si>
  <si>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</si>
  <si>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</si>
  <si>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</si>
  <si>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</si>
  <si>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</si>
  <si>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</si>
  <si>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</si>
  <si>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</si>
  <si>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</si>
  <si>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</si>
  <si>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</si>
  <si>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</si>
  <si>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</si>
  <si>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Novagard</t>
  </si>
  <si>
    <t>5109 Hamilton Avenue, Cleveland, OH  44114</t>
  </si>
  <si>
    <t>Terry Smith</t>
  </si>
  <si>
    <t>tsmith@novagard.com</t>
  </si>
  <si>
    <t>(216) 881-8111  x3350</t>
  </si>
  <si>
    <t>Sr. Manager of Regulatory Compliance</t>
  </si>
  <si>
    <t>Silicone Greases and Compounds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</si>
</sst>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tsmith@novagard.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tsmith@novagard.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3"/>
      <c r="B2" s="5" t="s">
        <v>843</v>
      </c>
      <c r="C2" s="3"/>
      <c r="D2" s="175"/>
      <c r="E2" s="3"/>
      <c r="F2" s="3"/>
      <c r="G2" s="25"/>
    </row>
    <row r="3" spans="1:7">
      <c r="A3" s="293"/>
      <c r="B3" s="3" t="s">
        <v>835</v>
      </c>
      <c r="C3" s="5"/>
      <c r="D3" s="176"/>
      <c r="E3" s="3"/>
      <c r="F3" s="5"/>
      <c r="G3" s="25"/>
    </row>
    <row r="4" spans="1:7" ht="15">
      <c r="A4" s="293"/>
      <c r="B4" s="30" t="s">
        <v>845</v>
      </c>
      <c r="C4" s="6"/>
      <c r="D4" s="177"/>
      <c r="E4" s="3"/>
      <c r="F4" s="6"/>
      <c r="G4" s="25"/>
    </row>
    <row r="5" spans="1:7">
      <c r="A5" s="293"/>
      <c r="B5" s="29" t="s">
        <v>1036</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846</v>
      </c>
      <c r="C9" s="296"/>
      <c r="D9" s="296"/>
      <c r="E9" s="296"/>
      <c r="F9" s="296"/>
      <c r="G9" s="25"/>
    </row>
    <row r="10" spans="1:7" ht="27" customHeight="1">
      <c r="A10" s="293"/>
      <c r="B10" s="297" t="s">
        <v>438</v>
      </c>
      <c r="C10" s="297"/>
      <c r="D10" s="297"/>
      <c r="E10" s="297"/>
      <c r="F10" s="297"/>
      <c r="G10" s="25"/>
    </row>
    <row r="11" spans="1:7" ht="27" customHeight="1">
      <c r="A11" s="293"/>
      <c r="B11" s="298"/>
      <c r="C11" s="298"/>
      <c r="D11" s="298"/>
      <c r="E11" s="298"/>
      <c r="F11" s="298"/>
      <c r="G11" s="25"/>
    </row>
    <row r="12" spans="1:7">
      <c r="A12" s="293"/>
      <c r="B12" s="31" t="s">
        <v>844</v>
      </c>
      <c r="C12" s="32" t="s">
        <v>847</v>
      </c>
      <c r="D12" s="179" t="s">
        <v>848</v>
      </c>
      <c r="E12" s="32" t="s">
        <v>612</v>
      </c>
      <c r="F12" s="32" t="s">
        <v>613</v>
      </c>
      <c r="G12" s="25"/>
    </row>
    <row r="13" spans="1:7" ht="20">
      <c r="A13" s="293"/>
      <c r="B13" s="2">
        <v>1</v>
      </c>
      <c r="C13" s="27" t="s">
        <v>1084</v>
      </c>
      <c r="D13" s="28" t="s">
        <v>872</v>
      </c>
      <c r="E13" s="163" t="s">
        <v>849</v>
      </c>
      <c r="F13" s="163"/>
      <c r="G13" s="25"/>
    </row>
    <row r="14" spans="1:7" ht="30">
      <c r="A14" s="293"/>
      <c r="B14" s="2">
        <v>2</v>
      </c>
      <c r="C14" s="27" t="s">
        <v>1084</v>
      </c>
      <c r="D14" s="28" t="s">
        <v>1021</v>
      </c>
      <c r="E14" s="163" t="s">
        <v>530</v>
      </c>
      <c r="F14" s="163" t="s">
        <v>531</v>
      </c>
      <c r="G14" s="25"/>
    </row>
    <row r="15" spans="1:7" ht="89.15" customHeight="1">
      <c r="A15" s="293"/>
      <c r="B15" s="299">
        <v>2.0099999999999998</v>
      </c>
      <c r="C15" s="302" t="s">
        <v>1084</v>
      </c>
      <c r="D15" s="305" t="s">
        <v>2246</v>
      </c>
      <c r="E15" s="164" t="s">
        <v>614</v>
      </c>
      <c r="F15" s="164" t="s">
        <v>617</v>
      </c>
      <c r="G15" s="25"/>
    </row>
    <row r="16" spans="1:7" ht="99" customHeight="1">
      <c r="A16" s="293"/>
      <c r="B16" s="300"/>
      <c r="C16" s="303"/>
      <c r="D16" s="306"/>
      <c r="E16" s="165"/>
      <c r="F16" s="165" t="s">
        <v>615</v>
      </c>
      <c r="G16" s="25"/>
    </row>
    <row r="17" spans="1:7" ht="63" customHeight="1">
      <c r="A17" s="293"/>
      <c r="B17" s="301"/>
      <c r="C17" s="304"/>
      <c r="D17" s="307"/>
      <c r="E17" s="27"/>
      <c r="F17" s="27" t="s">
        <v>616</v>
      </c>
      <c r="G17" s="25"/>
    </row>
    <row r="18" spans="1:7" ht="117" customHeight="1">
      <c r="A18" s="293"/>
      <c r="B18" s="299">
        <v>2.02</v>
      </c>
      <c r="C18" s="302" t="s">
        <v>1084</v>
      </c>
      <c r="D18" s="305" t="s">
        <v>2247</v>
      </c>
      <c r="E18" s="164" t="s">
        <v>439</v>
      </c>
      <c r="F18" s="164" t="s">
        <v>525</v>
      </c>
      <c r="G18" s="25"/>
    </row>
    <row r="19" spans="1:7" ht="71.150000000000006" customHeight="1">
      <c r="A19" s="293"/>
      <c r="B19" s="300"/>
      <c r="C19" s="303"/>
      <c r="D19" s="306"/>
      <c r="E19" s="165" t="s">
        <v>529</v>
      </c>
      <c r="F19" s="165" t="s">
        <v>440</v>
      </c>
      <c r="G19" s="25"/>
    </row>
    <row r="20" spans="1:7" ht="90.75" customHeight="1">
      <c r="A20" s="293"/>
      <c r="B20" s="300"/>
      <c r="C20" s="303"/>
      <c r="D20" s="306"/>
      <c r="E20" s="165"/>
      <c r="F20" s="165" t="s">
        <v>619</v>
      </c>
      <c r="G20" s="25"/>
    </row>
    <row r="21" spans="1:7" ht="74.25" customHeight="1">
      <c r="A21" s="293"/>
      <c r="B21" s="301"/>
      <c r="C21" s="304"/>
      <c r="D21" s="307"/>
      <c r="E21" s="27"/>
      <c r="F21" s="27" t="s">
        <v>618</v>
      </c>
      <c r="G21" s="25"/>
    </row>
    <row r="22" spans="1:7" ht="90" customHeight="1">
      <c r="A22" s="293"/>
      <c r="B22" s="311">
        <v>2.0299999999999998</v>
      </c>
      <c r="C22" s="311" t="s">
        <v>818</v>
      </c>
      <c r="D22" s="314" t="s">
        <v>2248</v>
      </c>
      <c r="E22" s="302" t="s">
        <v>437</v>
      </c>
      <c r="F22" s="164" t="s">
        <v>460</v>
      </c>
      <c r="G22" s="25"/>
    </row>
    <row r="23" spans="1:7" ht="109.5" customHeight="1">
      <c r="A23" s="293"/>
      <c r="B23" s="312"/>
      <c r="C23" s="312"/>
      <c r="D23" s="315"/>
      <c r="E23" s="303"/>
      <c r="F23" s="165" t="s">
        <v>819</v>
      </c>
      <c r="G23" s="25"/>
    </row>
    <row r="24" spans="1:7" ht="74.25" customHeight="1">
      <c r="A24" s="293"/>
      <c r="B24" s="313"/>
      <c r="C24" s="313"/>
      <c r="D24" s="316"/>
      <c r="E24" s="304"/>
      <c r="F24" s="27" t="s">
        <v>436</v>
      </c>
      <c r="G24" s="25"/>
    </row>
    <row r="25" spans="1:7" ht="72" customHeight="1">
      <c r="A25" s="293"/>
      <c r="B25" s="2" t="s">
        <v>458</v>
      </c>
      <c r="C25" s="27" t="s">
        <v>459</v>
      </c>
      <c r="D25" s="28" t="s">
        <v>2249</v>
      </c>
      <c r="E25" s="27" t="s">
        <v>2244</v>
      </c>
      <c r="F25" s="27" t="s">
        <v>461</v>
      </c>
      <c r="G25" s="25"/>
    </row>
    <row r="26" spans="1:7" ht="98.15" customHeight="1">
      <c r="A26" s="293"/>
      <c r="B26" s="308">
        <v>3</v>
      </c>
      <c r="C26" s="299" t="s">
        <v>70</v>
      </c>
      <c r="D26" s="305" t="s">
        <v>2250</v>
      </c>
      <c r="E26" s="302" t="s">
        <v>0</v>
      </c>
      <c r="F26" s="164" t="s">
        <v>64</v>
      </c>
      <c r="G26" s="25"/>
    </row>
    <row r="27" spans="1:7" ht="90" customHeight="1">
      <c r="A27" s="293"/>
      <c r="B27" s="309"/>
      <c r="C27" s="300"/>
      <c r="D27" s="306"/>
      <c r="E27" s="303"/>
      <c r="F27" s="165" t="s">
        <v>59</v>
      </c>
      <c r="G27" s="25"/>
    </row>
    <row r="28" spans="1:7" ht="19.399999999999999" customHeight="1">
      <c r="A28" s="293"/>
      <c r="B28" s="309"/>
      <c r="C28" s="300"/>
      <c r="D28" s="306"/>
      <c r="E28" s="303"/>
      <c r="F28" s="165" t="s">
        <v>60</v>
      </c>
      <c r="G28" s="25"/>
    </row>
    <row r="29" spans="1:7" ht="74.5" customHeight="1">
      <c r="A29" s="293"/>
      <c r="B29" s="309"/>
      <c r="C29" s="300"/>
      <c r="D29" s="306"/>
      <c r="E29" s="303"/>
      <c r="F29" s="165" t="s">
        <v>61</v>
      </c>
      <c r="G29" s="25"/>
    </row>
    <row r="30" spans="1:7" ht="62.5" customHeight="1">
      <c r="A30" s="293"/>
      <c r="B30" s="309"/>
      <c r="C30" s="300"/>
      <c r="D30" s="306"/>
      <c r="E30" s="303"/>
      <c r="F30" s="165" t="s">
        <v>62</v>
      </c>
      <c r="G30" s="25"/>
    </row>
    <row r="31" spans="1:7" ht="81" customHeight="1">
      <c r="A31" s="293"/>
      <c r="B31" s="309"/>
      <c r="C31" s="300"/>
      <c r="D31" s="306"/>
      <c r="E31" s="303"/>
      <c r="F31" s="165" t="s">
        <v>63</v>
      </c>
      <c r="G31" s="25"/>
    </row>
    <row r="32" spans="1:7" ht="48.75" customHeight="1">
      <c r="A32" s="293"/>
      <c r="B32" s="309"/>
      <c r="C32" s="300"/>
      <c r="D32" s="306"/>
      <c r="E32" s="303"/>
      <c r="F32" s="165" t="s">
        <v>66</v>
      </c>
      <c r="G32" s="25"/>
    </row>
    <row r="33" spans="1:7" ht="98.5" customHeight="1">
      <c r="A33" s="293"/>
      <c r="B33" s="309"/>
      <c r="C33" s="300"/>
      <c r="D33" s="306"/>
      <c r="E33" s="303"/>
      <c r="F33" s="165" t="s">
        <v>65</v>
      </c>
      <c r="G33" s="25"/>
    </row>
    <row r="34" spans="1:7" ht="89.15" customHeight="1">
      <c r="A34" s="293"/>
      <c r="B34" s="309"/>
      <c r="C34" s="300"/>
      <c r="D34" s="306"/>
      <c r="E34" s="303"/>
      <c r="F34" s="165" t="s">
        <v>67</v>
      </c>
      <c r="G34" s="25"/>
    </row>
    <row r="35" spans="1:7" ht="29.15" customHeight="1">
      <c r="A35" s="293"/>
      <c r="B35" s="309"/>
      <c r="C35" s="300"/>
      <c r="D35" s="306"/>
      <c r="E35" s="303"/>
      <c r="F35" s="165" t="s">
        <v>68</v>
      </c>
      <c r="G35" s="25"/>
    </row>
    <row r="36" spans="1:7" ht="111">
      <c r="A36" s="293"/>
      <c r="B36" s="310"/>
      <c r="C36" s="301"/>
      <c r="D36" s="307"/>
      <c r="E36" s="304"/>
      <c r="F36" s="166" t="s">
        <v>69</v>
      </c>
      <c r="G36" s="25"/>
    </row>
    <row r="37" spans="1:7" ht="100">
      <c r="A37" s="293"/>
      <c r="B37" s="141">
        <v>3.01</v>
      </c>
      <c r="C37" s="142" t="s">
        <v>70</v>
      </c>
      <c r="D37" s="28" t="s">
        <v>2251</v>
      </c>
      <c r="E37" s="167" t="s">
        <v>1323</v>
      </c>
      <c r="F37" s="168" t="s">
        <v>1427</v>
      </c>
      <c r="G37" s="25"/>
    </row>
    <row r="38" spans="1:7" ht="90">
      <c r="A38" s="293"/>
      <c r="B38" s="141">
        <v>3.02</v>
      </c>
      <c r="C38" s="142" t="s">
        <v>1356</v>
      </c>
      <c r="D38" s="28" t="s">
        <v>2252</v>
      </c>
      <c r="E38" s="167" t="s">
        <v>1371</v>
      </c>
      <c r="F38" s="168" t="s">
        <v>1428</v>
      </c>
      <c r="G38" s="25"/>
    </row>
    <row r="39" spans="1:7" ht="80">
      <c r="A39" s="293"/>
      <c r="B39" s="150">
        <v>4</v>
      </c>
      <c r="C39" s="149" t="s">
        <v>1524</v>
      </c>
      <c r="D39" s="28" t="s">
        <v>2253</v>
      </c>
      <c r="E39" s="27" t="s">
        <v>2198</v>
      </c>
      <c r="F39" s="27" t="s">
        <v>1525</v>
      </c>
      <c r="G39" s="25"/>
    </row>
    <row r="40" spans="1:7" ht="50">
      <c r="A40" s="293"/>
      <c r="B40" s="141">
        <v>4.01</v>
      </c>
      <c r="C40" s="149" t="s">
        <v>1524</v>
      </c>
      <c r="D40" s="28" t="s">
        <v>2255</v>
      </c>
      <c r="E40" s="27" t="s">
        <v>2210</v>
      </c>
      <c r="F40" s="27" t="s">
        <v>2214</v>
      </c>
      <c r="G40" s="25"/>
    </row>
    <row r="41" spans="1:7" ht="50">
      <c r="A41" s="293"/>
      <c r="B41" s="141" t="s">
        <v>2242</v>
      </c>
      <c r="C41" s="149" t="s">
        <v>1524</v>
      </c>
      <c r="D41" s="28" t="s">
        <v>2254</v>
      </c>
      <c r="E41" s="27" t="s">
        <v>2245</v>
      </c>
      <c r="F41" s="27" t="s">
        <v>2243</v>
      </c>
      <c r="G41" s="25"/>
    </row>
    <row r="42" spans="1:7" ht="50">
      <c r="A42" s="293"/>
      <c r="B42" s="141" t="s">
        <v>2276</v>
      </c>
      <c r="C42" s="149" t="s">
        <v>1524</v>
      </c>
      <c r="D42" s="28" t="s">
        <v>2281</v>
      </c>
      <c r="E42" s="27" t="s">
        <v>2244</v>
      </c>
      <c r="F42" s="27" t="s">
        <v>2277</v>
      </c>
      <c r="G42" s="25"/>
    </row>
    <row r="43" spans="1:7" ht="110">
      <c r="A43" s="293"/>
      <c r="B43" s="160">
        <v>4.0999999999999996</v>
      </c>
      <c r="C43" s="149" t="s">
        <v>2280</v>
      </c>
      <c r="D43" s="161">
        <v>42867</v>
      </c>
      <c r="E43" s="169" t="s">
        <v>2283</v>
      </c>
      <c r="F43" s="27" t="s">
        <v>2282</v>
      </c>
      <c r="G43" s="25"/>
    </row>
    <row r="44" spans="1:7" ht="70">
      <c r="A44" s="293"/>
      <c r="B44" s="160">
        <v>4.2</v>
      </c>
      <c r="C44" s="149" t="s">
        <v>2280</v>
      </c>
      <c r="D44" s="161">
        <v>42704</v>
      </c>
      <c r="E44" s="169" t="s">
        <v>2479</v>
      </c>
      <c r="F44" s="27" t="s">
        <v>2454</v>
      </c>
      <c r="G44" s="25"/>
    </row>
    <row r="45" spans="1:7" ht="130">
      <c r="A45" s="293"/>
      <c r="B45" s="202">
        <v>5</v>
      </c>
      <c r="C45" s="149" t="s">
        <v>2280</v>
      </c>
      <c r="D45" s="161">
        <v>42867</v>
      </c>
      <c r="E45" s="169" t="s">
        <v>12705</v>
      </c>
      <c r="F45" s="27" t="s">
        <v>12427</v>
      </c>
      <c r="G45" s="25"/>
    </row>
    <row r="46" spans="1:7" ht="30">
      <c r="A46" s="293"/>
      <c r="B46" s="160">
        <v>5.01</v>
      </c>
      <c r="C46" s="149" t="s">
        <v>2280</v>
      </c>
      <c r="D46" s="161">
        <v>42907</v>
      </c>
      <c r="E46" s="169" t="s">
        <v>15521</v>
      </c>
      <c r="F46" s="27" t="s">
        <v>12427</v>
      </c>
      <c r="G46" s="25"/>
    </row>
    <row r="47" spans="1:7" ht="60">
      <c r="A47" s="293"/>
      <c r="B47" s="160">
        <v>5.0999999999999996</v>
      </c>
      <c r="C47" s="149" t="s">
        <v>2280</v>
      </c>
      <c r="D47" s="161">
        <v>43070</v>
      </c>
      <c r="E47" s="169" t="s">
        <v>12915</v>
      </c>
      <c r="F47" s="27" t="s">
        <v>12916</v>
      </c>
      <c r="G47" s="25"/>
    </row>
    <row r="48" spans="1:7" ht="50">
      <c r="A48" s="293"/>
      <c r="B48" s="160">
        <v>5.1100000000000003</v>
      </c>
      <c r="C48" s="149" t="s">
        <v>13152</v>
      </c>
      <c r="D48" s="161">
        <v>43217</v>
      </c>
      <c r="E48" s="169" t="s">
        <v>13278</v>
      </c>
      <c r="F48" s="27" t="s">
        <v>13186</v>
      </c>
      <c r="G48" s="25"/>
    </row>
    <row r="49" spans="1:7" ht="50">
      <c r="A49" s="293"/>
      <c r="B49" s="160">
        <v>5.12</v>
      </c>
      <c r="C49" s="149" t="s">
        <v>13152</v>
      </c>
      <c r="D49" s="161">
        <v>43581</v>
      </c>
      <c r="E49" s="169" t="s">
        <v>13278</v>
      </c>
      <c r="F49" s="27" t="s">
        <v>13832</v>
      </c>
      <c r="G49" s="25"/>
    </row>
    <row r="50" spans="1:7" ht="70">
      <c r="A50" s="293"/>
      <c r="B50" s="202">
        <v>6</v>
      </c>
      <c r="C50" s="149" t="s">
        <v>13152</v>
      </c>
      <c r="D50" s="161">
        <v>43964</v>
      </c>
      <c r="E50" s="169" t="s">
        <v>14048</v>
      </c>
      <c r="F50" s="27" t="s">
        <v>13835</v>
      </c>
      <c r="G50" s="25"/>
    </row>
    <row r="51" spans="1:7" ht="40">
      <c r="A51" s="293"/>
      <c r="B51" s="160">
        <v>6.01</v>
      </c>
      <c r="C51" s="149" t="s">
        <v>13152</v>
      </c>
      <c r="D51" s="161">
        <v>43970</v>
      </c>
      <c r="E51" s="169" t="s">
        <v>15522</v>
      </c>
      <c r="F51" s="169" t="s">
        <v>13835</v>
      </c>
      <c r="G51" s="25"/>
    </row>
    <row r="52" spans="1:7" ht="40">
      <c r="A52" s="293"/>
      <c r="B52" s="160">
        <v>6.1</v>
      </c>
      <c r="C52" s="149" t="s">
        <v>13152</v>
      </c>
      <c r="D52" s="161">
        <v>44314</v>
      </c>
      <c r="E52" s="169" t="s">
        <v>15514</v>
      </c>
      <c r="F52" s="169" t="s">
        <v>15043</v>
      </c>
      <c r="G52" s="25"/>
    </row>
    <row r="53" spans="1:7" ht="40">
      <c r="A53" s="293"/>
      <c r="B53" s="160">
        <v>6.2</v>
      </c>
      <c r="C53" s="149" t="s">
        <v>13152</v>
      </c>
      <c r="D53" s="161">
        <v>44678</v>
      </c>
      <c r="E53" s="169" t="s">
        <v>15514</v>
      </c>
      <c r="F53" s="169" t="s">
        <v>15513</v>
      </c>
      <c r="G53" s="25"/>
    </row>
    <row r="54" spans="1:7" ht="40">
      <c r="A54" s="293"/>
      <c r="B54" s="160">
        <v>6.21</v>
      </c>
      <c r="C54" s="149" t="s">
        <v>13152</v>
      </c>
      <c r="D54" s="161">
        <v>44687</v>
      </c>
      <c r="E54" s="169" t="s">
        <v>15523</v>
      </c>
      <c r="F54" s="169" t="s">
        <v>15513</v>
      </c>
      <c r="G54" s="25"/>
    </row>
    <row r="55" spans="1:7" ht="40">
      <c r="A55" s="293"/>
      <c r="B55" s="160">
        <v>6.22</v>
      </c>
      <c r="C55" s="149" t="s">
        <v>13152</v>
      </c>
      <c r="D55" s="275">
        <v>44692</v>
      </c>
      <c r="E55" s="169" t="s">
        <v>15522</v>
      </c>
      <c r="F55" s="169" t="s">
        <v>15513</v>
      </c>
      <c r="G55" s="25"/>
    </row>
    <row r="56" spans="1:7" ht="50">
      <c r="A56" s="293"/>
      <c r="B56" s="202">
        <v>6.3</v>
      </c>
      <c r="C56" s="149" t="s">
        <v>13152</v>
      </c>
      <c r="D56" s="275">
        <v>45051</v>
      </c>
      <c r="E56" s="169" t="s">
        <v>15790</v>
      </c>
      <c r="F56" s="169" t="s">
        <v>15571</v>
      </c>
      <c r="G56" s="25"/>
    </row>
    <row r="57" spans="1:7" ht="40">
      <c r="A57" s="293"/>
      <c r="B57" s="160">
        <v>6.31</v>
      </c>
      <c r="C57" s="149" t="s">
        <v>13152</v>
      </c>
      <c r="D57" s="275">
        <v>45072</v>
      </c>
      <c r="E57" s="169" t="s">
        <v>15792</v>
      </c>
      <c r="F57" s="169" t="s">
        <v>15571</v>
      </c>
      <c r="G57" s="25"/>
    </row>
    <row r="58" spans="1:7" ht="14" thickBot="1">
      <c r="A58" s="294"/>
      <c r="B58" s="295" t="str">
        <f ca="1">OFFSET(L!$C$1,MATCH("General"&amp;"Cpy",L!$A:$A,0)-1,SL,,)</f>
        <v>© 2023 Responsible Minerals Initiative. All rights reserved.</v>
      </c>
      <c r="C58" s="295"/>
      <c r="D58" s="295"/>
      <c r="E58" s="295"/>
      <c r="F58" s="295"/>
      <c r="G58" s="26"/>
    </row>
    <row r="59" spans="1:7" ht="14"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3"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4" thickBot="1">
      <c r="A33" s="75"/>
      <c r="B33" s="153"/>
      <c r="C33" s="153"/>
      <c r="D33" s="322"/>
    </row>
    <row r="34" spans="1:4" ht="14"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0" zoomScalePageLayoutView="70" workbookViewId="0">
      <selection activeCell="D11" sqref="D11:J11"/>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496</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 (*)</v>
      </c>
      <c r="C10" s="122"/>
      <c r="D10" s="354" t="s">
        <v>15801</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15796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15797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15798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15799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15797</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15800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15798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15799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45301</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489</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 xml:space="preserve">Tin  </v>
      </c>
      <c r="C27" s="35"/>
      <c r="D27" s="326" t="s">
        <v>489</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 xml:space="preserve">Gold  </v>
      </c>
      <c r="C28" s="35"/>
      <c r="D28" s="326" t="s">
        <v>489</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489</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v>
      </c>
      <c r="C31" s="10"/>
      <c r="D31" s="331" t="str">
        <f ca="1">D25</f>
        <v>Answer</v>
      </c>
      <c r="E31" s="331"/>
      <c r="F31" s="18"/>
      <c r="G31" s="44" t="str">
        <f ca="1">G25</f>
        <v>Comments</v>
      </c>
      <c r="H31" s="44"/>
      <c r="I31" s="44"/>
      <c r="J31" s="83"/>
      <c r="K31" s="36"/>
      <c r="L31" s="111" t="s">
        <v>1238</v>
      </c>
      <c r="P31" s="45">
        <f>COUNTIF(D$26:D$29,"No")</f>
        <v>4</v>
      </c>
      <c r="Q31" s="45" t="str">
        <f>IF(P31=4,""," (*)")</f>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v>
      </c>
      <c r="C37" s="10"/>
      <c r="D37" s="331" t="str">
        <f ca="1">D25</f>
        <v>Answer</v>
      </c>
      <c r="E37" s="331"/>
      <c r="F37" s="18"/>
      <c r="G37" s="44" t="str">
        <f ca="1">G25</f>
        <v>Comments</v>
      </c>
      <c r="H37" s="374"/>
      <c r="I37" s="374"/>
      <c r="J37" s="374"/>
      <c r="K37" s="36"/>
      <c r="L37" s="111" t="s">
        <v>1238</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v>
      </c>
      <c r="C43" s="10"/>
      <c r="D43" s="331" t="str">
        <f ca="1">D25</f>
        <v>Answer</v>
      </c>
      <c r="E43" s="331"/>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 xml:space="preserve">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 xml:space="preserve">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 xml:space="preserve">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489</v>
      </c>
      <c r="E77" s="327"/>
      <c r="F77" s="57"/>
      <c r="G77" s="338"/>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14982</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 hidden="1">
      <c r="B98" s="56" t="s">
        <v>490</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2480</v>
      </c>
      <c r="D100" s="282" t="str">
        <f>IF(AND(OR($D$27="Yes",$D$27=""),OR($D$33="Yes",$D$33="")),"No","")</f>
        <v/>
      </c>
      <c r="E100" s="282" t="str">
        <f>IF(AND(OR($D$26="Yes",$D$26=""),OR($D$32="Yes",$D$32="")),"50% or less","")</f>
        <v/>
      </c>
      <c r="G100" s="282" t="str">
        <f>IF(OR($D$28="Yes",$D$28=""),"Yes","")</f>
        <v/>
      </c>
    </row>
    <row r="101" spans="2:7" ht="15" hidden="1">
      <c r="B101" s="236" t="s">
        <v>2481</v>
      </c>
      <c r="D101" s="282" t="str">
        <f>IF(AND(OR($D$27="Yes",$D$27=""),OR($D$33="Yes",$D$33="")),"Unknown","")</f>
        <v/>
      </c>
      <c r="E101" s="282" t="str">
        <f>IF(AND(OR($D$26="Yes",$D$26=""),OR($D$32="Yes",$D$32="")),"None","")</f>
        <v/>
      </c>
      <c r="G101" s="282" t="str">
        <f>IF(OR($D$28="Yes",$D$28=""),"No","")</f>
        <v/>
      </c>
    </row>
    <row r="102" spans="2:7" ht="15" hidden="1">
      <c r="B102" s="236" t="s">
        <v>2482</v>
      </c>
      <c r="D102" s="282" t="str">
        <f>IF(AND(OR($D$28="Yes",$D$28=""),OR($D$34="Yes",$D$34="")),"Yes","")</f>
        <v/>
      </c>
      <c r="E102" s="282" t="str">
        <f>IF(AND(OR($D$27="Yes",$D$27=""),OR($D$33="Yes",$D$33="")),"100%","")</f>
        <v/>
      </c>
      <c r="G102" s="282" t="str">
        <f>IF(OR($D$29="Yes",$D$29=""),"Yes","")</f>
        <v/>
      </c>
    </row>
    <row r="103" spans="2:7" ht="15" hidden="1">
      <c r="B103" s="236" t="s">
        <v>2483</v>
      </c>
      <c r="D103" s="282" t="str">
        <f>IF(AND(OR($D$28="Yes",$D$28=""),OR($D$34="Yes",$D$34="")),"No","")</f>
        <v/>
      </c>
      <c r="E103" s="282" t="str">
        <f>IF(AND(OR($D$27="Yes",$D$27=""),OR($D$33="Yes",$D$33="")),"Greater than 90%","")</f>
        <v/>
      </c>
      <c r="G103" s="282" t="str">
        <f>IF(OR($D$29="Yes",$D$29=""),"No","")</f>
        <v/>
      </c>
    </row>
    <row r="104" spans="2:7" ht="15" hidden="1">
      <c r="B104" s="236" t="s">
        <v>491</v>
      </c>
      <c r="D104" s="282" t="str">
        <f>IF(AND(OR($D$28="Yes",$D$28=""),OR($D$34="Yes",$D$34="")),"Unknown","")</f>
        <v/>
      </c>
      <c r="E104" s="282" t="str">
        <f>IF(AND(OR($D$27="Yes",$D$27=""),OR($D$33="Yes",$D$33="")),"Greater than 75%","")</f>
        <v/>
      </c>
    </row>
    <row r="105" spans="2:7" ht="15" hidden="1">
      <c r="B105" s="236" t="s">
        <v>14982</v>
      </c>
      <c r="D105" s="282" t="str">
        <f>IF(AND(OR($D$29="Yes",$D$29=""),OR($D$35="Yes",$D$35="")),"Yes","")</f>
        <v/>
      </c>
      <c r="E105" s="282" t="str">
        <f>IF(AND(OR($D$27="Yes",$D$27=""),OR($D$33="Yes",$D$33="")),"Greater than 50%","")</f>
        <v/>
      </c>
    </row>
    <row r="106" spans="2:7" ht="15" hidden="1">
      <c r="B106" s="236" t="s">
        <v>12394</v>
      </c>
      <c r="D106" s="282" t="str">
        <f>IF(AND(OR($D$29="Yes",$D$29=""),OR($D$35="Yes",$D$35="")),"No","")</f>
        <v/>
      </c>
      <c r="E106" s="282" t="str">
        <f>IF(AND(OR($D$27="Yes",$D$27=""),OR($D$33="Yes",$D$33="")),"50% or less","")</f>
        <v/>
      </c>
    </row>
    <row r="107" spans="2:7" ht="15" hidden="1">
      <c r="B107" s="236" t="s">
        <v>489</v>
      </c>
      <c r="D107" s="282" t="str">
        <f>IF(AND(OR($D$29="Yes",$D$29=""),OR($D$35="Yes",$D$35="")),"Unknown","")</f>
        <v/>
      </c>
      <c r="E107" s="282" t="str">
        <f>IF(AND(OR($D$27="Yes",$D$27=""),OR($D$33="Yes",$D$33="")),"None","")</f>
        <v/>
      </c>
    </row>
    <row r="108" spans="2:7" ht="15" hidden="1">
      <c r="B108" s="236" t="s">
        <v>13974</v>
      </c>
      <c r="E108" s="282" t="str">
        <f>IF(AND(OR($D$28="Yes",$D$28=""),OR($D$34="Yes",$D$34="")),"100%","")</f>
        <v/>
      </c>
    </row>
    <row r="109" spans="2:7" ht="15" hidden="1">
      <c r="B109" s="236" t="s">
        <v>13976</v>
      </c>
      <c r="E109" s="282" t="str">
        <f>IF(AND(OR($D$28="Yes",$D$28=""),OR($D$34="Yes",$D$34="")),"Greater than 90%","")</f>
        <v/>
      </c>
    </row>
    <row r="110" spans="2:7" ht="15" hidden="1">
      <c r="B110" s="236" t="s">
        <v>13977</v>
      </c>
      <c r="E110" s="282" t="str">
        <f>IF(AND(OR($D$28="Yes",$D$28=""),OR($D$34="Yes",$D$34="")),"Greater than 75%","")</f>
        <v/>
      </c>
    </row>
    <row r="111" spans="2:7" ht="1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9A8DAEA-FC19-4E87-BC4E-F9FB7A1B51BD}"/>
    <hyperlink ref="D20" r:id="rId4" xr:uid="{CC9F705B-39CC-4625-8076-852620EE81BB}"/>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0"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t="shared" ref="S5" ca="1" si="0">IF(B5="","",IF(ISERROR(MATCH($E5,CL,0)),"Unknown",INDIRECT("'C'!$A$"&amp;MATCH($E5,CL,0)+1)))</f>
        <v/>
      </c>
      <c r="T5" s="181" t="str">
        <f ca="1">IF(B5="","",IF(ISERROR(MATCH($J5,SorP!$B$1:$B$6279,0)),"",INDIRECT("'SorP'!$A$"&amp;MATCH($S5&amp;$J5,SorP!C:C,0))))</f>
        <v/>
      </c>
      <c r="U5" s="201"/>
      <c r="V5" s="226" t="e">
        <f>IF(C5="",NA(),IF(OR(C5="Smelter not listed",C5="Smelter not yet identified"),MATCH($B5&amp;$D5,'Smelter Look-up'!$J:$J,0),MATCH($B5&amp;$C5,'Smelter Look-up'!$J:$J,0)))</f>
        <v>#N/A</v>
      </c>
      <c r="X5" s="227">
        <f t="shared" ref="X5" ca="1" si="1">IF(AND(C5="Smelter not listed",OR(LEN(D5)=0,LEN(E5)=0)),1,0)</f>
        <v>0</v>
      </c>
      <c r="AB5" s="228" t="str">
        <f t="shared" ref="AB5" si="2">B5&amp;C5</f>
        <v/>
      </c>
    </row>
    <row r="6" spans="1:34" s="227" customFormat="1" ht="20"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3">IF(B6="","",IF(ISERROR(MATCH($E6,CL,0)),"Unknown",INDIRECT("'C'!$A$"&amp;MATCH($E6,CL,0)+1)))</f>
        <v/>
      </c>
      <c r="T6" s="181" t="str">
        <f ca="1">IF(B6="","",IF(ISERROR(MATCH($J6,SorP!$B$1:$B$6279,0)),"",INDIRECT("'SorP'!$A$"&amp;MATCH($S6&amp;$J6,SorP!C:C,0))))</f>
        <v/>
      </c>
      <c r="U6" s="201"/>
      <c r="V6" s="226" t="e">
        <f>IF(C6="",NA(),IF(OR(C6="Smelter not listed",C6="Smelter not yet identified"),MATCH($B6&amp;$D6,'Smelter Look-up'!$J:$J,0),MATCH($B6&amp;$C6,'Smelter Look-up'!$J:$J,0)))</f>
        <v>#N/A</v>
      </c>
      <c r="X6" s="227">
        <f t="shared" ref="X6:X37" ca="1" si="4">IF(AND(C6="Smelter not listed",OR(LEN(D6)=0,LEN(E6)=0)),1,0)</f>
        <v>0</v>
      </c>
      <c r="AB6" s="228" t="str">
        <f t="shared" ref="AB6:AB37" si="5">B6&amp;C6</f>
        <v/>
      </c>
    </row>
    <row r="7" spans="1:34" s="227" customFormat="1" ht="20"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3"/>
        <v/>
      </c>
      <c r="T7" s="181" t="str">
        <f ca="1">IF(B7="","",IF(ISERROR(MATCH($J7,SorP!$B$1:$B$6279,0)),"",INDIRECT("'SorP'!$A$"&amp;MATCH($S7&amp;$J7,SorP!C:C,0))))</f>
        <v/>
      </c>
      <c r="U7" s="201"/>
      <c r="V7" s="226" t="e">
        <f>IF(C7="",NA(),IF(OR(C7="Smelter not listed",C7="Smelter not yet identified"),MATCH($B7&amp;$D7,'Smelter Look-up'!$J:$J,0),MATCH($B7&amp;$C7,'Smelter Look-up'!$J:$J,0)))</f>
        <v>#N/A</v>
      </c>
      <c r="X7" s="227">
        <f t="shared" ca="1" si="4"/>
        <v>0</v>
      </c>
      <c r="AB7" s="228" t="str">
        <f t="shared" si="5"/>
        <v/>
      </c>
    </row>
    <row r="8" spans="1:34" s="227" customFormat="1" ht="20"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3"/>
        <v/>
      </c>
      <c r="T8" s="181" t="str">
        <f ca="1">IF(B8="","",IF(ISERROR(MATCH($J8,SorP!$B$1:$B$6279,0)),"",INDIRECT("'SorP'!$A$"&amp;MATCH($S8&amp;$J8,SorP!C:C,0))))</f>
        <v/>
      </c>
      <c r="U8" s="201"/>
      <c r="V8" s="226" t="e">
        <f>IF(C8="",NA(),IF(OR(C8="Smelter not listed",C8="Smelter not yet identified"),MATCH($B8&amp;$D8,'Smelter Look-up'!$J:$J,0),MATCH($B8&amp;$C8,'Smelter Look-up'!$J:$J,0)))</f>
        <v>#N/A</v>
      </c>
      <c r="X8" s="227">
        <f t="shared" ca="1" si="4"/>
        <v>0</v>
      </c>
      <c r="AB8" s="228" t="str">
        <f t="shared" si="5"/>
        <v/>
      </c>
    </row>
    <row r="9" spans="1:34" s="227" customFormat="1" ht="20"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3"/>
        <v/>
      </c>
      <c r="T9" s="181" t="str">
        <f ca="1">IF(B9="","",IF(ISERROR(MATCH($J9,SorP!$B$1:$B$6279,0)),"",INDIRECT("'SorP'!$A$"&amp;MATCH($S9&amp;$J9,SorP!C:C,0))))</f>
        <v/>
      </c>
      <c r="U9" s="201"/>
      <c r="V9" s="226" t="e">
        <f>IF(C9="",NA(),IF(OR(C9="Smelter not listed",C9="Smelter not yet identified"),MATCH($B9&amp;$D9,'Smelter Look-up'!$J:$J,0),MATCH($B9&amp;$C9,'Smelter Look-up'!$J:$J,0)))</f>
        <v>#N/A</v>
      </c>
      <c r="X9" s="227">
        <f t="shared" ca="1" si="4"/>
        <v>0</v>
      </c>
      <c r="AB9" s="228" t="str">
        <f t="shared" si="5"/>
        <v/>
      </c>
    </row>
    <row r="10" spans="1:34" s="227" customFormat="1" ht="20"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3"/>
        <v/>
      </c>
      <c r="T10" s="181" t="str">
        <f ca="1">IF(B10="","",IF(ISERROR(MATCH($J10,SorP!$B$1:$B$6279,0)),"",INDIRECT("'SorP'!$A$"&amp;MATCH($S10&amp;$J10,SorP!C:C,0))))</f>
        <v/>
      </c>
      <c r="U10" s="201"/>
      <c r="V10" s="226" t="e">
        <f>IF(C10="",NA(),IF(OR(C10="Smelter not listed",C10="Smelter not yet identified"),MATCH($B10&amp;$D10,'Smelter Look-up'!$J:$J,0),MATCH($B10&amp;$C10,'Smelter Look-up'!$J:$J,0)))</f>
        <v>#N/A</v>
      </c>
      <c r="X10" s="227">
        <f t="shared" ca="1" si="4"/>
        <v>0</v>
      </c>
      <c r="AB10" s="228" t="str">
        <f t="shared" si="5"/>
        <v/>
      </c>
    </row>
    <row r="11" spans="1:34" s="227" customFormat="1" ht="20"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3"/>
        <v/>
      </c>
      <c r="T11" s="181" t="str">
        <f ca="1">IF(B11="","",IF(ISERROR(MATCH($J11,SorP!$B$1:$B$6279,0)),"",INDIRECT("'SorP'!$A$"&amp;MATCH($S11&amp;$J11,SorP!C:C,0))))</f>
        <v/>
      </c>
      <c r="U11" s="201"/>
      <c r="V11" s="226" t="e">
        <f>IF(C11="",NA(),IF(OR(C11="Smelter not listed",C11="Smelter not yet identified"),MATCH($B11&amp;$D11,'Smelter Look-up'!$J:$J,0),MATCH($B11&amp;$C11,'Smelter Look-up'!$J:$J,0)))</f>
        <v>#N/A</v>
      </c>
      <c r="X11" s="227">
        <f t="shared" ca="1" si="4"/>
        <v>0</v>
      </c>
      <c r="AB11" s="228" t="str">
        <f t="shared" si="5"/>
        <v/>
      </c>
    </row>
    <row r="12" spans="1:34" s="227" customFormat="1" ht="20"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3"/>
        <v/>
      </c>
      <c r="T12" s="181" t="str">
        <f ca="1">IF(B12="","",IF(ISERROR(MATCH($J12,SorP!$B$1:$B$6279,0)),"",INDIRECT("'SorP'!$A$"&amp;MATCH($S12&amp;$J12,SorP!C:C,0))))</f>
        <v/>
      </c>
      <c r="U12" s="201"/>
      <c r="V12" s="226" t="e">
        <f>IF(C12="",NA(),IF(OR(C12="Smelter not listed",C12="Smelter not yet identified"),MATCH($B12&amp;$D12,'Smelter Look-up'!$J:$J,0),MATCH($B12&amp;$C12,'Smelter Look-up'!$J:$J,0)))</f>
        <v>#N/A</v>
      </c>
      <c r="X12" s="227">
        <f t="shared" ca="1" si="4"/>
        <v>0</v>
      </c>
      <c r="AB12" s="228" t="str">
        <f t="shared" si="5"/>
        <v/>
      </c>
    </row>
    <row r="13" spans="1:34" s="227" customFormat="1" ht="20"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3"/>
        <v/>
      </c>
      <c r="T13" s="181" t="str">
        <f ca="1">IF(B13="","",IF(ISERROR(MATCH($J13,SorP!$B$1:$B$6279,0)),"",INDIRECT("'SorP'!$A$"&amp;MATCH($S13&amp;$J13,SorP!C:C,0))))</f>
        <v/>
      </c>
      <c r="U13" s="201"/>
      <c r="V13" s="226" t="e">
        <f>IF(C13="",NA(),IF(OR(C13="Smelter not listed",C13="Smelter not yet identified"),MATCH($B13&amp;$D13,'Smelter Look-up'!$J:$J,0),MATCH($B13&amp;$C13,'Smelter Look-up'!$J:$J,0)))</f>
        <v>#N/A</v>
      </c>
      <c r="X13" s="227">
        <f t="shared" ca="1" si="4"/>
        <v>0</v>
      </c>
      <c r="AB13" s="228" t="str">
        <f t="shared" si="5"/>
        <v/>
      </c>
    </row>
    <row r="14" spans="1:34" s="227" customFormat="1" ht="20"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3"/>
        <v/>
      </c>
      <c r="T14" s="181" t="str">
        <f ca="1">IF(B14="","",IF(ISERROR(MATCH($J14,SorP!$B$1:$B$6279,0)),"",INDIRECT("'SorP'!$A$"&amp;MATCH($S14&amp;$J14,SorP!C:C,0))))</f>
        <v/>
      </c>
      <c r="U14" s="201"/>
      <c r="V14" s="226" t="e">
        <f>IF(C14="",NA(),IF(OR(C14="Smelter not listed",C14="Smelter not yet identified"),MATCH($B14&amp;$D14,'Smelter Look-up'!$J:$J,0),MATCH($B14&amp;$C14,'Smelter Look-up'!$J:$J,0)))</f>
        <v>#N/A</v>
      </c>
      <c r="X14" s="227">
        <f t="shared" ca="1" si="4"/>
        <v>0</v>
      </c>
      <c r="AB14" s="228" t="str">
        <f t="shared" si="5"/>
        <v/>
      </c>
    </row>
    <row r="15" spans="1:34" s="227" customFormat="1" ht="20"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3"/>
        <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ca="1" si="4"/>
        <v>0</v>
      </c>
      <c r="AB15" s="228" t="str">
        <f t="shared" si="5"/>
        <v/>
      </c>
    </row>
    <row r="16" spans="1:34" s="227" customFormat="1" ht="20"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3"/>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4"/>
        <v>0</v>
      </c>
      <c r="AB16" s="228" t="str">
        <f t="shared" si="5"/>
        <v/>
      </c>
    </row>
    <row r="17" spans="1:28" s="227" customFormat="1" ht="20"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3"/>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4"/>
        <v>0</v>
      </c>
      <c r="AB17" s="228" t="str">
        <f t="shared" si="5"/>
        <v/>
      </c>
    </row>
    <row r="18" spans="1:28" s="227" customFormat="1" ht="20"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4"/>
        <v>0</v>
      </c>
      <c r="AB18" s="228" t="str">
        <f t="shared" si="5"/>
        <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645B83B-8189-48D8-A33A-F3CF1291FBDC}"/>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41">
      <c r="A4" s="90" t="str">
        <f ca="1">Declaration!B8</f>
        <v>Company Name (*):</v>
      </c>
      <c r="B4" s="89" t="str">
        <f>Declaration!D8</f>
        <v>Novagard</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C. User defined [Specify in 'Description of scope']</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 (*)</v>
      </c>
      <c r="B6" s="89" t="str">
        <f>Declaration!D10</f>
        <v>Silicone Greases and Compounds</v>
      </c>
      <c r="C6" s="89" t="str">
        <f ca="1">IF(H6=1,J6,I6)</f>
        <v>Complete</v>
      </c>
      <c r="D6" s="95" t="str">
        <f>IF(H6=1,"Click here to provide a Description of Scope","")</f>
        <v/>
      </c>
      <c r="E6" s="20" t="s">
        <v>1302</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Terry Smith</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tsmith@novagard.com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(216) 881-8111  x3350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Terry Smith</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tsmith@novagard.com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45301</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806</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 xml:space="preserve">Tin  </v>
      </c>
      <c r="B15" s="89" t="str">
        <f>Declaration!D27</f>
        <v>No</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v>
      </c>
      <c r="B18" s="92"/>
      <c r="C18" s="92"/>
      <c r="D18" s="96"/>
      <c r="E18" s="20" t="s">
        <v>804</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 xml:space="preserve">Tin  </v>
      </c>
      <c r="B20" s="89">
        <f>IF($B$15="Yes",Declaration!D33,0)</f>
        <v>0</v>
      </c>
      <c r="C20" s="89" t="str">
        <f ca="1">IF(H20=1,J20,I20)</f>
        <v>Complete</v>
      </c>
      <c r="D20" s="97" t="str">
        <f>IF(H20=1,"Click here to answer question 2 for Tin","")</f>
        <v/>
      </c>
      <c r="E20" s="20" t="s">
        <v>803</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803</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 xml:space="preserve">Tin  </v>
      </c>
      <c r="B25" s="89">
        <f>IF(AND($B$15="Yes",$B$20="Yes"),Declaration!D39,0)</f>
        <v>0</v>
      </c>
      <c r="C25" s="89" t="str">
        <f ca="1">IF(H25=1,J25,I25)</f>
        <v>Complete</v>
      </c>
      <c r="D25" s="97" t="str">
        <f>IF(H25=1,"Click here to answer question 3 for Tin","")</f>
        <v/>
      </c>
      <c r="E25" s="20" t="s">
        <v>803</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 xml:space="preserve">5) Does 100 percent of the 3TG (necessary to the functionality or production of your products) originate from recycled or scrap sources? </v>
      </c>
      <c r="B33" s="92"/>
      <c r="C33" s="92"/>
      <c r="D33" s="96"/>
      <c r="E33" s="20" t="s">
        <v>1302</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 xml:space="preserve">Tin  </v>
      </c>
      <c r="B35" s="89">
        <f>IF(AND($B$15="Yes",$B$20="Yes"),Declaration!D51,0)</f>
        <v>0</v>
      </c>
      <c r="C35" s="89" t="str">
        <f ca="1">IF(H35=1,J35,I35)</f>
        <v>Complete</v>
      </c>
      <c r="D35" s="260" t="str">
        <f>IF(H35=1,"Click here to answer question 5 for Tin","")</f>
        <v/>
      </c>
      <c r="E35" s="20" t="s">
        <v>1302</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 xml:space="preserve">6) What percentage of relevant suppliers have provided a response to your supply chain survey? </v>
      </c>
      <c r="B38" s="92"/>
      <c r="C38" s="92"/>
      <c r="D38" s="96"/>
      <c r="E38" s="20" t="s">
        <v>803</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 xml:space="preserve">Tin  </v>
      </c>
      <c r="B40" s="268">
        <f>IF(AND($B$15="Yes",$B$20="Yes"),Declaration!D57,0)</f>
        <v>0</v>
      </c>
      <c r="C40" s="89" t="str">
        <f ca="1">IF(H40=1,J40,I40)</f>
        <v>Complete</v>
      </c>
      <c r="D40" s="261" t="str">
        <f>IF(H40=1,"Click here to answer question 6 for Tin","")</f>
        <v/>
      </c>
      <c r="E40" s="20" t="s">
        <v>802</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 xml:space="preserve">7) Have you identified all of the smelters supplying the 3TG to your supply chain? </v>
      </c>
      <c r="B43" s="92"/>
      <c r="C43" s="92"/>
      <c r="D43" s="96"/>
      <c r="E43" s="20" t="s">
        <v>804</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 xml:space="preserve">Tin  </v>
      </c>
      <c r="B45" s="89">
        <f>IF(AND($B$15="Yes",$B$20="Yes"),Declaration!D63,0)</f>
        <v>0</v>
      </c>
      <c r="C45" s="89" t="str">
        <f ca="1">IF(H45=1,J45,I45)</f>
        <v>Complete</v>
      </c>
      <c r="D45" s="260" t="str">
        <f>IF(H45=1,"Click here to answer question 7 for Tin","")</f>
        <v/>
      </c>
      <c r="E45" s="20" t="s">
        <v>1298</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 xml:space="preserve">8) Has all applicable smelter information received by your company been reported in this declaration? </v>
      </c>
      <c r="B48" s="92"/>
      <c r="C48" s="92"/>
      <c r="D48" s="96"/>
      <c r="E48" s="20" t="s">
        <v>805</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 xml:space="preserve">Tin  </v>
      </c>
      <c r="B50" s="89">
        <f>IF(AND($B$15="Yes",$B$20="Yes"),Declaration!D69,0)</f>
        <v>0</v>
      </c>
      <c r="C50" s="89" t="str">
        <f ca="1">IF(H50=1,J50,I50)</f>
        <v>Complete</v>
      </c>
      <c r="D50" s="261" t="str">
        <f>IF(H50=1,"Click here to answer question 8 for Tin","")</f>
        <v/>
      </c>
      <c r="E50" s="20" t="s">
        <v>803</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441</v>
      </c>
      <c r="F53" s="93"/>
      <c r="G53" s="93"/>
      <c r="H53" s="93"/>
    </row>
    <row r="54" spans="1:10" ht="41">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1302</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1302</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1302</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v>
      </c>
      <c r="B58" s="89" t="str">
        <f>Declaration!D81</f>
        <v>Yes</v>
      </c>
      <c r="C58" s="89" t="str">
        <f t="shared" ca="1" si="10"/>
        <v>Complete</v>
      </c>
      <c r="D58" s="95" t="str">
        <f>IF(H58=1,"Click here to answer question (D)","")</f>
        <v/>
      </c>
      <c r="E58" s="20" t="s">
        <v>1302</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1302</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1302</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1302</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1302</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1851</v>
      </c>
      <c r="B66" s="89"/>
      <c r="C66" s="89" t="str">
        <f t="shared" ca="1" si="13"/>
        <v>Complete</v>
      </c>
      <c r="D66" s="95" t="str">
        <f>IF(H66=0,"","Click here to provide smelter information")</f>
        <v/>
      </c>
      <c r="E66" s="20" t="s">
        <v>803</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1852</v>
      </c>
      <c r="B67" s="89"/>
      <c r="C67" s="89" t="str">
        <f t="shared" ca="1" si="13"/>
        <v>Complete</v>
      </c>
      <c r="D67" s="95" t="str">
        <f>IF(H67=0,"","Click here to provide smelter information")</f>
        <v/>
      </c>
      <c r="E67" s="20" t="s">
        <v>803</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4"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15"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2023 Responsible Minerals Initiative. All rights reserved.</v>
      </c>
      <c r="C2006" s="396"/>
      <c r="D2006" s="396"/>
      <c r="E2006" s="279"/>
    </row>
    <row r="2007" spans="1:5" ht="14"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1">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37.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0.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0.5">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0.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0.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0.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1">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1">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7.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0.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0.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48.5">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1.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0.5">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91.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55">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6">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6">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0.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8">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08">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08">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1.5">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64.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3">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8.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1.5">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0.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7">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7.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4">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1">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4.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1.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7.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7.5">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1">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2">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89">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6">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0.5">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02.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10.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48.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48.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97">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4.5">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0.5">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7">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7.5">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0.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1">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89">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3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48.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7.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08">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9.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08">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7.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48.5">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08">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0">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56.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1">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2.5">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02.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5.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0.5">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5">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4">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7">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7">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9">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40.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0.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9">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9">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40.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7">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7.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2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9">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0.5">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9">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7">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7">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7">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7">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7">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7">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27">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7">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7">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7">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7">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7">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0.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0.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4">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0.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4">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0.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0.5">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0.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0.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0.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4">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4">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4">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4">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7.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7.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7.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7.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67.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67.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67.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67.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67.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67.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4">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67.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0.5">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4">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4">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4">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0.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0.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0.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0.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4">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4">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4">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4.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0.5">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0.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0.5">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0.5">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0.5">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1">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7.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7.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A7CF894-21FD-43BA-9527-6B2BEFC1214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D49565A-7B9A-4589-A7A5-D29EA21751D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Terry Smith</cp:lastModifiedBy>
  <cp:lastPrinted>2015-04-21T20:47:43Z</cp:lastPrinted>
  <dcterms:created xsi:type="dcterms:W3CDTF">2010-06-21T21:00:23Z</dcterms:created>
  <dcterms:modified xsi:type="dcterms:W3CDTF">2024-02-28T13:42:38Z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